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" yWindow="17" windowWidth="11897" windowHeight="8031"/>
  </bookViews>
  <sheets>
    <sheet name="LRA BM" sheetId="2" r:id="rId1"/>
    <sheet name="LRA SP2D" sheetId="9" r:id="rId2"/>
    <sheet name="SPJ FUNGSIONAL 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Titles" localSheetId="0">'LRA BM'!$5:$13</definedName>
    <definedName name="_xlnm.Print_Titles" localSheetId="1">'LRA SP2D'!$6:$14</definedName>
    <definedName name="_xlnm.Print_Titles" localSheetId="2">'SPJ FUNGSIONAL '!$12:$20</definedName>
  </definedNames>
  <calcPr calcId="144525"/>
</workbook>
</file>

<file path=xl/calcChain.xml><?xml version="1.0" encoding="utf-8"?>
<calcChain xmlns="http://schemas.openxmlformats.org/spreadsheetml/2006/main">
  <c r="Q36" i="1" l="1"/>
  <c r="W185" i="1"/>
  <c r="P388" i="1"/>
  <c r="W393" i="1"/>
  <c r="Q241" i="9" l="1"/>
  <c r="Q236" i="9"/>
  <c r="Q234" i="9"/>
  <c r="Q186" i="9"/>
  <c r="Q166" i="9"/>
  <c r="Q160" i="9"/>
  <c r="Q141" i="9"/>
  <c r="Q102" i="9"/>
  <c r="Q54" i="9"/>
  <c r="T327" i="2"/>
  <c r="V332" i="2"/>
  <c r="T332" i="2"/>
  <c r="S333" i="9" l="1"/>
  <c r="U333" i="9" s="1"/>
  <c r="Q329" i="9"/>
  <c r="Q328" i="9" s="1"/>
  <c r="U334" i="9"/>
  <c r="U333" i="2" s="1"/>
  <c r="T334" i="9"/>
  <c r="T333" i="9" s="1"/>
  <c r="U332" i="2" l="1"/>
  <c r="W332" i="2" s="1"/>
  <c r="X332" i="2" s="1"/>
  <c r="W333" i="2"/>
  <c r="X394" i="1"/>
  <c r="Y394" i="1"/>
  <c r="X393" i="1"/>
  <c r="Y393" i="1" s="1"/>
  <c r="W339" i="1" l="1"/>
  <c r="X339" i="1" s="1"/>
  <c r="Y339" i="1" s="1"/>
  <c r="V339" i="1"/>
  <c r="W172" i="1"/>
  <c r="AD172" i="1"/>
  <c r="X340" i="1"/>
  <c r="Y340" i="1" s="1"/>
  <c r="W247" i="1"/>
  <c r="AD247" i="1"/>
  <c r="W192" i="1"/>
  <c r="AD194" i="1"/>
  <c r="W166" i="1"/>
  <c r="AD163" i="1"/>
  <c r="W147" i="1"/>
  <c r="W57" i="1"/>
  <c r="Q31" i="9"/>
  <c r="W50" i="1"/>
  <c r="Q365" i="1"/>
  <c r="Q362" i="1"/>
  <c r="Q37" i="1"/>
  <c r="Q42" i="1" l="1"/>
  <c r="W240" i="1" l="1"/>
  <c r="W242" i="1"/>
  <c r="W60" i="1"/>
  <c r="W108" i="1"/>
  <c r="W223" i="1"/>
  <c r="W324" i="2" l="1"/>
  <c r="W325" i="2"/>
  <c r="U324" i="2"/>
  <c r="W306" i="2"/>
  <c r="W307" i="2"/>
  <c r="U307" i="2"/>
  <c r="W133" i="2"/>
  <c r="U133" i="2"/>
  <c r="S133" i="2"/>
  <c r="R325" i="9" l="1"/>
  <c r="T325" i="9"/>
  <c r="U325" i="9" s="1"/>
  <c r="S250" i="9"/>
  <c r="R250" i="9"/>
  <c r="Q250" i="9"/>
  <c r="P250" i="9"/>
  <c r="R252" i="9"/>
  <c r="R251" i="9"/>
  <c r="T252" i="9"/>
  <c r="U252" i="9" s="1"/>
  <c r="T251" i="9"/>
  <c r="T250" i="9" s="1"/>
  <c r="T308" i="9"/>
  <c r="T259" i="9"/>
  <c r="T258" i="9" s="1"/>
  <c r="T247" i="9"/>
  <c r="T134" i="9"/>
  <c r="U134" i="9" s="1"/>
  <c r="R134" i="9"/>
  <c r="P381" i="1"/>
  <c r="P378" i="1"/>
  <c r="P365" i="1"/>
  <c r="P362" i="1"/>
  <c r="U250" i="9" l="1"/>
  <c r="U251" i="9"/>
  <c r="W260" i="1"/>
  <c r="W250" i="1"/>
  <c r="W238" i="1"/>
  <c r="V366" i="1"/>
  <c r="V365" i="1"/>
  <c r="V370" i="1"/>
  <c r="V367" i="1"/>
  <c r="V364" i="1"/>
  <c r="V386" i="1"/>
  <c r="V383" i="1"/>
  <c r="V382" i="1"/>
  <c r="V381" i="1"/>
  <c r="V380" i="1"/>
  <c r="V378" i="1" l="1"/>
  <c r="V362" i="1"/>
  <c r="X331" i="1" l="1"/>
  <c r="Y331" i="1" s="1"/>
  <c r="Z331" i="1" s="1"/>
  <c r="X332" i="1"/>
  <c r="Y332" i="1" s="1"/>
  <c r="Z332" i="1" s="1"/>
  <c r="X313" i="1"/>
  <c r="Y313" i="1" s="1"/>
  <c r="Z313" i="1" s="1"/>
  <c r="X314" i="1"/>
  <c r="Y314" i="1"/>
  <c r="Z314" i="1" s="1"/>
  <c r="W256" i="1"/>
  <c r="V256" i="1"/>
  <c r="O256" i="1"/>
  <c r="X257" i="1"/>
  <c r="X256" i="1" s="1"/>
  <c r="Y256" i="1" s="1"/>
  <c r="Z256" i="1" s="1"/>
  <c r="X258" i="1"/>
  <c r="Y258" i="1" s="1"/>
  <c r="Z258" i="1" s="1"/>
  <c r="Q34" i="1"/>
  <c r="Q31" i="1"/>
  <c r="Y257" i="1" l="1"/>
  <c r="Z257" i="1" s="1"/>
  <c r="S307" i="2"/>
  <c r="U307" i="9"/>
  <c r="U308" i="9"/>
  <c r="R307" i="9"/>
  <c r="R308" i="9"/>
  <c r="R247" i="9"/>
  <c r="R248" i="9"/>
  <c r="Q27" i="9" l="1"/>
  <c r="Q26" i="9"/>
  <c r="Q25" i="9"/>
  <c r="Q24" i="9"/>
  <c r="Q39" i="1"/>
  <c r="Q38" i="1"/>
  <c r="Q35" i="1"/>
  <c r="Q33" i="1"/>
  <c r="Q32" i="1"/>
  <c r="Q30" i="1"/>
  <c r="S303" i="9" l="1"/>
  <c r="S259" i="9"/>
  <c r="S248" i="9"/>
  <c r="S189" i="9"/>
  <c r="S188" i="9"/>
  <c r="S164" i="9"/>
  <c r="S139" i="9"/>
  <c r="P330" i="9"/>
  <c r="P306" i="9"/>
  <c r="P303" i="9"/>
  <c r="P302" i="9"/>
  <c r="P299" i="9"/>
  <c r="P298" i="9"/>
  <c r="P184" i="9"/>
  <c r="P183" i="9"/>
  <c r="P182" i="9"/>
  <c r="P181" i="9"/>
  <c r="P180" i="9"/>
  <c r="P179" i="9"/>
  <c r="P178" i="9"/>
  <c r="P287" i="9"/>
  <c r="P284" i="9"/>
  <c r="P272" i="9"/>
  <c r="P259" i="9"/>
  <c r="P258" i="9"/>
  <c r="P269" i="9"/>
  <c r="P268" i="9"/>
  <c r="P267" i="9"/>
  <c r="P256" i="9"/>
  <c r="P255" i="9"/>
  <c r="P249" i="9"/>
  <c r="P246" i="9"/>
  <c r="P245" i="9"/>
  <c r="P241" i="9"/>
  <c r="P240" i="9"/>
  <c r="P237" i="9"/>
  <c r="P236" i="9"/>
  <c r="P235" i="9"/>
  <c r="P234" i="9"/>
  <c r="P233" i="9"/>
  <c r="P201" i="9"/>
  <c r="P202" i="9"/>
  <c r="P194" i="9"/>
  <c r="P188" i="9"/>
  <c r="P186" i="9"/>
  <c r="P185" i="9"/>
  <c r="P170" i="9"/>
  <c r="P167" i="9"/>
  <c r="P166" i="9"/>
  <c r="P164" i="9"/>
  <c r="P163" i="9"/>
  <c r="P160" i="9"/>
  <c r="R160" i="9" s="1"/>
  <c r="P159" i="9"/>
  <c r="R159" i="9" s="1"/>
  <c r="P158" i="9"/>
  <c r="P148" i="9"/>
  <c r="P142" i="9"/>
  <c r="P141" i="9"/>
  <c r="P138" i="9"/>
  <c r="P135" i="9"/>
  <c r="P128" i="9"/>
  <c r="P125" i="9"/>
  <c r="P121" i="9"/>
  <c r="P113" i="9"/>
  <c r="P112" i="9"/>
  <c r="P110" i="9"/>
  <c r="P109" i="9"/>
  <c r="P108" i="9"/>
  <c r="P107" i="9"/>
  <c r="P102" i="9"/>
  <c r="P101" i="9"/>
  <c r="P100" i="9"/>
  <c r="P99" i="9"/>
  <c r="P94" i="9"/>
  <c r="P73" i="9"/>
  <c r="P70" i="9"/>
  <c r="P64" i="9"/>
  <c r="P58" i="9"/>
  <c r="P55" i="9"/>
  <c r="P54" i="9"/>
  <c r="P53" i="9"/>
  <c r="P52" i="9"/>
  <c r="P51" i="9"/>
  <c r="P50" i="9"/>
  <c r="P44" i="9"/>
  <c r="P36" i="9"/>
  <c r="P33" i="9"/>
  <c r="P32" i="9"/>
  <c r="P31" i="9"/>
  <c r="P30" i="9"/>
  <c r="P29" i="9"/>
  <c r="P28" i="9"/>
  <c r="P27" i="9"/>
  <c r="P26" i="9"/>
  <c r="P25" i="9"/>
  <c r="P24" i="9"/>
  <c r="W264" i="1"/>
  <c r="V336" i="1"/>
  <c r="V333" i="1"/>
  <c r="V312" i="1"/>
  <c r="V309" i="1"/>
  <c r="V308" i="1"/>
  <c r="V293" i="1"/>
  <c r="V290" i="1"/>
  <c r="V278" i="1"/>
  <c r="V275" i="1"/>
  <c r="V274" i="1"/>
  <c r="V273" i="1"/>
  <c r="V261" i="1"/>
  <c r="V254" i="1"/>
  <c r="V252" i="1"/>
  <c r="V251" i="1"/>
  <c r="V247" i="1"/>
  <c r="V246" i="1"/>
  <c r="V243" i="1"/>
  <c r="V242" i="1"/>
  <c r="V241" i="1"/>
  <c r="V240" i="1"/>
  <c r="V239" i="1"/>
  <c r="V208" i="1"/>
  <c r="V207" i="1"/>
  <c r="V200" i="1"/>
  <c r="V195" i="1"/>
  <c r="V194" i="1"/>
  <c r="V192" i="1"/>
  <c r="V191" i="1"/>
  <c r="V187" i="1"/>
  <c r="V186" i="1"/>
  <c r="V185" i="1"/>
  <c r="V184" i="1"/>
  <c r="V176" i="1"/>
  <c r="V173" i="1"/>
  <c r="V172" i="1"/>
  <c r="V170" i="1"/>
  <c r="V169" i="1"/>
  <c r="V166" i="1"/>
  <c r="V165" i="1"/>
  <c r="V164" i="1"/>
  <c r="V154" i="1"/>
  <c r="V148" i="1"/>
  <c r="V147" i="1"/>
  <c r="V146" i="1"/>
  <c r="V145" i="1"/>
  <c r="V144" i="1"/>
  <c r="V141" i="1"/>
  <c r="V134" i="1"/>
  <c r="V131" i="1"/>
  <c r="V127" i="1"/>
  <c r="V119" i="1"/>
  <c r="V118" i="1"/>
  <c r="V116" i="1"/>
  <c r="V115" i="1"/>
  <c r="V114" i="1"/>
  <c r="V113" i="1"/>
  <c r="V108" i="1"/>
  <c r="V107" i="1"/>
  <c r="V106" i="1"/>
  <c r="V105" i="1"/>
  <c r="V100" i="1"/>
  <c r="V79" i="1"/>
  <c r="V76" i="1"/>
  <c r="V70" i="1"/>
  <c r="V64" i="1"/>
  <c r="V61" i="1"/>
  <c r="V60" i="1"/>
  <c r="V59" i="1"/>
  <c r="V57" i="1"/>
  <c r="V56" i="1"/>
  <c r="V50" i="1"/>
  <c r="P42" i="1"/>
  <c r="P39" i="1"/>
  <c r="P38" i="1"/>
  <c r="P37" i="1"/>
  <c r="P36" i="1"/>
  <c r="P35" i="1"/>
  <c r="P34" i="1"/>
  <c r="P33" i="1"/>
  <c r="P32" i="1"/>
  <c r="P31" i="1"/>
  <c r="P30" i="1"/>
  <c r="P244" i="9" l="1"/>
  <c r="P243" i="9" s="1"/>
  <c r="V238" i="1"/>
  <c r="V237" i="1" s="1"/>
  <c r="X375" i="1"/>
  <c r="Y375" i="1" s="1"/>
  <c r="AE343" i="9" l="1"/>
  <c r="U247" i="9" l="1"/>
  <c r="U248" i="9"/>
  <c r="W248" i="9" s="1"/>
  <c r="T140" i="9"/>
  <c r="R139" i="9"/>
  <c r="S138" i="2" s="1"/>
  <c r="T139" i="9"/>
  <c r="U139" i="9" s="1"/>
  <c r="T267" i="9"/>
  <c r="T189" i="9"/>
  <c r="T188" i="9"/>
  <c r="T164" i="9"/>
  <c r="U138" i="2" l="1"/>
  <c r="X139" i="9"/>
  <c r="V389" i="1"/>
  <c r="V391" i="1"/>
  <c r="V390" i="1"/>
  <c r="V373" i="1"/>
  <c r="V372" i="1"/>
  <c r="V395" i="1" l="1"/>
  <c r="V376" i="1"/>
  <c r="W183" i="1"/>
  <c r="O183" i="1"/>
  <c r="X253" i="1"/>
  <c r="Y253" i="1" s="1"/>
  <c r="Z253" i="1" s="1"/>
  <c r="X254" i="1"/>
  <c r="Y254" i="1" s="1"/>
  <c r="Z254" i="1" s="1"/>
  <c r="X195" i="1"/>
  <c r="X194" i="1"/>
  <c r="Y194" i="1" s="1"/>
  <c r="W376" i="1" l="1"/>
  <c r="Q381" i="1" l="1"/>
  <c r="V188" i="1" l="1"/>
  <c r="V130" i="1"/>
  <c r="Z246" i="2" l="1"/>
  <c r="Z247" i="2"/>
  <c r="Z195" i="2"/>
  <c r="Z196" i="2"/>
  <c r="Z197" i="2"/>
  <c r="R188" i="2"/>
  <c r="X308" i="9"/>
  <c r="W247" i="9"/>
  <c r="X247" i="9"/>
  <c r="X248" i="9"/>
  <c r="Z332" i="2"/>
  <c r="AA332" i="2"/>
  <c r="Z333" i="2"/>
  <c r="AA333" i="2"/>
  <c r="R332" i="2"/>
  <c r="R333" i="2"/>
  <c r="P332" i="2"/>
  <c r="Z249" i="2"/>
  <c r="Z250" i="2"/>
  <c r="Z251" i="2"/>
  <c r="P188" i="2"/>
  <c r="X333" i="9" l="1"/>
  <c r="X334" i="9"/>
  <c r="O334" i="9"/>
  <c r="O333" i="9" s="1"/>
  <c r="Y333" i="9" s="1"/>
  <c r="O308" i="9"/>
  <c r="O233" i="9"/>
  <c r="O238" i="1"/>
  <c r="O250" i="1"/>
  <c r="O248" i="9"/>
  <c r="O247" i="9"/>
  <c r="X250" i="9"/>
  <c r="X251" i="9"/>
  <c r="X252" i="9"/>
  <c r="W250" i="9"/>
  <c r="O252" i="9"/>
  <c r="O251" i="9"/>
  <c r="O250" i="9" s="1"/>
  <c r="U188" i="9"/>
  <c r="U187" i="2" s="1"/>
  <c r="W187" i="2" s="1"/>
  <c r="U189" i="9"/>
  <c r="R189" i="9"/>
  <c r="S188" i="2" s="1"/>
  <c r="O163" i="1"/>
  <c r="O335" i="1"/>
  <c r="O334" i="1" s="1"/>
  <c r="O327" i="1"/>
  <c r="Z340" i="1"/>
  <c r="O339" i="1"/>
  <c r="Y195" i="1"/>
  <c r="Z195" i="1" s="1"/>
  <c r="Z194" i="1"/>
  <c r="Y334" i="9" l="1"/>
  <c r="Y248" i="9"/>
  <c r="P247" i="2"/>
  <c r="R247" i="2" s="1"/>
  <c r="AA247" i="2" s="1"/>
  <c r="Y308" i="9"/>
  <c r="P307" i="2"/>
  <c r="R307" i="2" s="1"/>
  <c r="X307" i="2" s="1"/>
  <c r="Y189" i="9"/>
  <c r="U188" i="2"/>
  <c r="W188" i="2" s="1"/>
  <c r="Y252" i="9"/>
  <c r="P251" i="2"/>
  <c r="R251" i="2" s="1"/>
  <c r="AA251" i="2" s="1"/>
  <c r="Y247" i="9"/>
  <c r="P246" i="2"/>
  <c r="R246" i="2" s="1"/>
  <c r="AA246" i="2" s="1"/>
  <c r="V189" i="9"/>
  <c r="Y251" i="9"/>
  <c r="P250" i="2"/>
  <c r="Y250" i="9"/>
  <c r="X189" i="9"/>
  <c r="Z339" i="1"/>
  <c r="X392" i="1"/>
  <c r="AD372" i="1"/>
  <c r="P249" i="2" l="1"/>
  <c r="R249" i="2" s="1"/>
  <c r="AA249" i="2" s="1"/>
  <c r="R250" i="2"/>
  <c r="AA250" i="2" s="1"/>
  <c r="X188" i="2"/>
  <c r="Z188" i="2"/>
  <c r="Y392" i="1"/>
  <c r="V322" i="1"/>
  <c r="V319" i="1"/>
  <c r="V316" i="1"/>
  <c r="V346" i="1" l="1"/>
  <c r="S340" i="9" s="1"/>
  <c r="V343" i="1"/>
  <c r="S337" i="9" s="1"/>
  <c r="V338" i="1"/>
  <c r="S332" i="9" s="1"/>
  <c r="V337" i="1"/>
  <c r="S331" i="9" s="1"/>
  <c r="S313" i="9"/>
  <c r="S310" i="9"/>
  <c r="V315" i="1"/>
  <c r="S306" i="9"/>
  <c r="V305" i="1"/>
  <c r="V199" i="1"/>
  <c r="V294" i="2" l="1"/>
  <c r="T295" i="2"/>
  <c r="T294" i="2" s="1"/>
  <c r="V335" i="2"/>
  <c r="V334" i="2" s="1"/>
  <c r="T335" i="2"/>
  <c r="T334" i="2" s="1"/>
  <c r="V337" i="2"/>
  <c r="V338" i="2"/>
  <c r="T338" i="2"/>
  <c r="T337" i="2" s="1"/>
  <c r="V314" i="2"/>
  <c r="V313" i="2" s="1"/>
  <c r="T314" i="2"/>
  <c r="T313" i="2" s="1"/>
  <c r="V311" i="2"/>
  <c r="V310" i="2" s="1"/>
  <c r="T311" i="2"/>
  <c r="T310" i="2" s="1"/>
  <c r="T304" i="2"/>
  <c r="T303" i="2" s="1"/>
  <c r="T318" i="2" l="1"/>
  <c r="V293" i="2"/>
  <c r="T293" i="2"/>
  <c r="T340" i="9"/>
  <c r="T339" i="9" s="1"/>
  <c r="T338" i="9" s="1"/>
  <c r="T337" i="9"/>
  <c r="T336" i="9" s="1"/>
  <c r="T335" i="9" s="1"/>
  <c r="T332" i="9"/>
  <c r="T331" i="9"/>
  <c r="S316" i="9"/>
  <c r="T316" i="9"/>
  <c r="T313" i="9"/>
  <c r="T310" i="9"/>
  <c r="T309" i="9"/>
  <c r="T306" i="9"/>
  <c r="O307" i="9"/>
  <c r="O309" i="9"/>
  <c r="P308" i="2" s="1"/>
  <c r="R308" i="2" s="1"/>
  <c r="O311" i="1"/>
  <c r="O310" i="1" s="1"/>
  <c r="O297" i="9"/>
  <c r="W311" i="1"/>
  <c r="W310" i="1" s="1"/>
  <c r="P321" i="1"/>
  <c r="P320" i="1" s="1"/>
  <c r="Q321" i="1"/>
  <c r="Q320" i="1" s="1"/>
  <c r="R321" i="1"/>
  <c r="R320" i="1" s="1"/>
  <c r="S321" i="1"/>
  <c r="S320" i="1" s="1"/>
  <c r="T321" i="1"/>
  <c r="T320" i="1" s="1"/>
  <c r="U321" i="1"/>
  <c r="U320" i="1" s="1"/>
  <c r="V321" i="1"/>
  <c r="V320" i="1" s="1"/>
  <c r="W321" i="1"/>
  <c r="W320" i="1" s="1"/>
  <c r="P318" i="1"/>
  <c r="P317" i="1" s="1"/>
  <c r="Q318" i="1"/>
  <c r="Q317" i="1" s="1"/>
  <c r="R318" i="1"/>
  <c r="R317" i="1" s="1"/>
  <c r="S318" i="1"/>
  <c r="S317" i="1" s="1"/>
  <c r="T318" i="1"/>
  <c r="T317" i="1" s="1"/>
  <c r="U318" i="1"/>
  <c r="U317" i="1" s="1"/>
  <c r="V318" i="1"/>
  <c r="V317" i="1" s="1"/>
  <c r="W318" i="1"/>
  <c r="W317" i="1" s="1"/>
  <c r="P311" i="1"/>
  <c r="Q311" i="1"/>
  <c r="R311" i="1"/>
  <c r="S311" i="1"/>
  <c r="T311" i="1"/>
  <c r="U311" i="1"/>
  <c r="V311" i="1"/>
  <c r="V310" i="1" s="1"/>
  <c r="W302" i="1"/>
  <c r="W301" i="1" s="1"/>
  <c r="W345" i="1"/>
  <c r="W344" i="1" s="1"/>
  <c r="V345" i="1"/>
  <c r="V344" i="1" s="1"/>
  <c r="W342" i="1"/>
  <c r="V342" i="1"/>
  <c r="V341" i="1" s="1"/>
  <c r="O342" i="1"/>
  <c r="W335" i="1"/>
  <c r="W327" i="1"/>
  <c r="W326" i="1" s="1"/>
  <c r="O326" i="1"/>
  <c r="X346" i="1"/>
  <c r="X343" i="1"/>
  <c r="X338" i="1"/>
  <c r="X337" i="1"/>
  <c r="P331" i="9" s="1"/>
  <c r="X322" i="1"/>
  <c r="Y322" i="1" s="1"/>
  <c r="X319" i="1"/>
  <c r="X315" i="1"/>
  <c r="O302" i="1"/>
  <c r="X309" i="1"/>
  <c r="X312" i="1"/>
  <c r="X316" i="1"/>
  <c r="P296" i="2" l="1"/>
  <c r="R296" i="2" s="1"/>
  <c r="Y297" i="9"/>
  <c r="V297" i="9"/>
  <c r="Q339" i="9"/>
  <c r="Q338" i="9" s="1"/>
  <c r="Y337" i="1"/>
  <c r="Y338" i="1"/>
  <c r="S315" i="9"/>
  <c r="S314" i="9" s="1"/>
  <c r="P316" i="9"/>
  <c r="P315" i="9" s="1"/>
  <c r="P314" i="9" s="1"/>
  <c r="Y343" i="1"/>
  <c r="Y315" i="1"/>
  <c r="Z315" i="1" s="1"/>
  <c r="S309" i="9"/>
  <c r="P309" i="9" s="1"/>
  <c r="Y346" i="1"/>
  <c r="R331" i="9"/>
  <c r="S330" i="2" s="1"/>
  <c r="U331" i="9"/>
  <c r="U330" i="2" s="1"/>
  <c r="Y319" i="1"/>
  <c r="Y316" i="1"/>
  <c r="P310" i="9"/>
  <c r="U310" i="9"/>
  <c r="U309" i="2" s="1"/>
  <c r="S309" i="2" s="1"/>
  <c r="Y312" i="1"/>
  <c r="U316" i="9"/>
  <c r="U315" i="2" s="1"/>
  <c r="W315" i="2" s="1"/>
  <c r="W300" i="1"/>
  <c r="X345" i="1"/>
  <c r="Y345" i="1" s="1"/>
  <c r="X342" i="1"/>
  <c r="Y342" i="1" s="1"/>
  <c r="X318" i="1"/>
  <c r="Y318" i="1" s="1"/>
  <c r="Q310" i="9"/>
  <c r="Q316" i="9"/>
  <c r="T315" i="9"/>
  <c r="T314" i="9" s="1"/>
  <c r="T305" i="9"/>
  <c r="W341" i="1"/>
  <c r="X341" i="1" s="1"/>
  <c r="Y341" i="1" s="1"/>
  <c r="U306" i="9"/>
  <c r="U305" i="2" s="1"/>
  <c r="T312" i="9"/>
  <c r="T311" i="9" s="1"/>
  <c r="Q309" i="9"/>
  <c r="U313" i="9"/>
  <c r="U312" i="2" s="1"/>
  <c r="U311" i="2" s="1"/>
  <c r="X321" i="1"/>
  <c r="Y321" i="1" s="1"/>
  <c r="X310" i="1"/>
  <c r="Y310" i="1" s="1"/>
  <c r="X311" i="1"/>
  <c r="Y311" i="1" s="1"/>
  <c r="X320" i="1"/>
  <c r="Y320" i="1" s="1"/>
  <c r="X317" i="1"/>
  <c r="Y317" i="1" s="1"/>
  <c r="X344" i="1"/>
  <c r="Y344" i="1" s="1"/>
  <c r="U309" i="9" l="1"/>
  <c r="R309" i="9"/>
  <c r="U314" i="9"/>
  <c r="W330" i="2"/>
  <c r="P337" i="9"/>
  <c r="P336" i="9" s="1"/>
  <c r="P335" i="9" s="1"/>
  <c r="S336" i="9"/>
  <c r="U337" i="9"/>
  <c r="U336" i="2" s="1"/>
  <c r="P340" i="9"/>
  <c r="S339" i="9"/>
  <c r="U340" i="9"/>
  <c r="U339" i="2" s="1"/>
  <c r="P332" i="9"/>
  <c r="R332" i="9" s="1"/>
  <c r="S331" i="2" s="1"/>
  <c r="U332" i="9"/>
  <c r="U331" i="2" s="1"/>
  <c r="S315" i="2"/>
  <c r="S314" i="2" s="1"/>
  <c r="S313" i="2" s="1"/>
  <c r="U315" i="9"/>
  <c r="W312" i="2"/>
  <c r="P313" i="9"/>
  <c r="P312" i="9" s="1"/>
  <c r="P311" i="9" s="1"/>
  <c r="S312" i="9"/>
  <c r="S311" i="9" s="1"/>
  <c r="U311" i="9" s="1"/>
  <c r="W309" i="2"/>
  <c r="R310" i="9"/>
  <c r="W305" i="2"/>
  <c r="P305" i="9"/>
  <c r="P304" i="9" s="1"/>
  <c r="S305" i="9"/>
  <c r="S304" i="9" s="1"/>
  <c r="U314" i="2"/>
  <c r="U313" i="2" s="1"/>
  <c r="W313" i="2" s="1"/>
  <c r="Q336" i="9"/>
  <c r="Q315" i="9"/>
  <c r="R316" i="9"/>
  <c r="U310" i="2"/>
  <c r="W310" i="2" s="1"/>
  <c r="W311" i="2"/>
  <c r="Q312" i="9"/>
  <c r="T304" i="9"/>
  <c r="Q305" i="9"/>
  <c r="X309" i="9" l="1"/>
  <c r="W309" i="9"/>
  <c r="U308" i="2"/>
  <c r="Y309" i="9"/>
  <c r="R337" i="9"/>
  <c r="S336" i="2" s="1"/>
  <c r="S335" i="2" s="1"/>
  <c r="S334" i="2" s="1"/>
  <c r="U335" i="2"/>
  <c r="W336" i="2"/>
  <c r="W339" i="2"/>
  <c r="U338" i="2"/>
  <c r="S338" i="9"/>
  <c r="U338" i="9" s="1"/>
  <c r="U339" i="9"/>
  <c r="U336" i="9"/>
  <c r="S335" i="9"/>
  <c r="U335" i="9" s="1"/>
  <c r="U312" i="9"/>
  <c r="W331" i="2"/>
  <c r="P339" i="9"/>
  <c r="R340" i="9"/>
  <c r="S339" i="2" s="1"/>
  <c r="S338" i="2" s="1"/>
  <c r="S337" i="2" s="1"/>
  <c r="U304" i="9"/>
  <c r="U305" i="9"/>
  <c r="W314" i="2"/>
  <c r="R313" i="9"/>
  <c r="S312" i="2" s="1"/>
  <c r="S311" i="2" s="1"/>
  <c r="S310" i="2" s="1"/>
  <c r="R306" i="9"/>
  <c r="S305" i="2" s="1"/>
  <c r="Q335" i="9"/>
  <c r="R335" i="9" s="1"/>
  <c r="R336" i="9"/>
  <c r="R305" i="9"/>
  <c r="Q304" i="9"/>
  <c r="R304" i="9" s="1"/>
  <c r="Q311" i="9"/>
  <c r="R311" i="9" s="1"/>
  <c r="R312" i="9"/>
  <c r="Q314" i="9"/>
  <c r="R314" i="9" s="1"/>
  <c r="R315" i="9"/>
  <c r="S308" i="2" l="1"/>
  <c r="S304" i="2" s="1"/>
  <c r="S303" i="2" s="1"/>
  <c r="W308" i="2"/>
  <c r="X308" i="2" s="1"/>
  <c r="U304" i="2"/>
  <c r="U303" i="2" s="1"/>
  <c r="W303" i="2" s="1"/>
  <c r="W335" i="2"/>
  <c r="U334" i="2"/>
  <c r="W334" i="2" s="1"/>
  <c r="P338" i="9"/>
  <c r="R338" i="9" s="1"/>
  <c r="R339" i="9"/>
  <c r="W338" i="2"/>
  <c r="U337" i="2"/>
  <c r="W337" i="2" s="1"/>
  <c r="W304" i="2" l="1"/>
  <c r="S135" i="9"/>
  <c r="V131" i="2" l="1"/>
  <c r="T131" i="2"/>
  <c r="T302" i="9"/>
  <c r="T300" i="9"/>
  <c r="Q300" i="9" s="1"/>
  <c r="T182" i="9"/>
  <c r="Q182" i="9" s="1"/>
  <c r="S133" i="9"/>
  <c r="S132" i="9" s="1"/>
  <c r="P133" i="9"/>
  <c r="P132" i="9" s="1"/>
  <c r="T135" i="9"/>
  <c r="Q135" i="9" s="1"/>
  <c r="Q133" i="9" s="1"/>
  <c r="U135" i="9" l="1"/>
  <c r="U134" i="2" s="1"/>
  <c r="W134" i="2" s="1"/>
  <c r="T133" i="9"/>
  <c r="T132" i="9" s="1"/>
  <c r="U132" i="9" s="1"/>
  <c r="Q132" i="9"/>
  <c r="R133" i="9"/>
  <c r="R135" i="9"/>
  <c r="U133" i="9" l="1"/>
  <c r="S134" i="2"/>
  <c r="S132" i="2" s="1"/>
  <c r="U132" i="2" s="1"/>
  <c r="R132" i="9"/>
  <c r="W197" i="1"/>
  <c r="O197" i="1"/>
  <c r="O196" i="1" s="1"/>
  <c r="W139" i="1"/>
  <c r="W138" i="1" s="1"/>
  <c r="V139" i="1"/>
  <c r="V138" i="1" s="1"/>
  <c r="X141" i="1"/>
  <c r="Y141" i="1" s="1"/>
  <c r="Z141" i="1" s="1"/>
  <c r="X140" i="1"/>
  <c r="Y140" i="1" s="1"/>
  <c r="Z140" i="1" s="1"/>
  <c r="X138" i="1" l="1"/>
  <c r="Y138" i="1" s="1"/>
  <c r="S131" i="2"/>
  <c r="U131" i="2"/>
  <c r="W132" i="2"/>
  <c r="X139" i="1"/>
  <c r="Y139" i="1" s="1"/>
  <c r="W131" i="2" l="1"/>
  <c r="X374" i="1"/>
  <c r="Y374" i="1" s="1"/>
  <c r="T233" i="9" l="1"/>
  <c r="T196" i="9"/>
  <c r="Q196" i="9" s="1"/>
  <c r="T193" i="9"/>
  <c r="T178" i="9"/>
  <c r="W237" i="1"/>
  <c r="X237" i="1" l="1"/>
  <c r="U196" i="9"/>
  <c r="W384" i="1" l="1"/>
  <c r="W385" i="1"/>
  <c r="W387" i="1"/>
  <c r="V307" i="1" l="1"/>
  <c r="S301" i="9" s="1"/>
  <c r="P301" i="9" s="1"/>
  <c r="S299" i="9"/>
  <c r="S124" i="9"/>
  <c r="P124" i="9" s="1"/>
  <c r="V87" i="1"/>
  <c r="S81" i="9" s="1"/>
  <c r="T320" i="2" l="1"/>
  <c r="V320" i="2"/>
  <c r="U322" i="2"/>
  <c r="S325" i="2"/>
  <c r="S324" i="2"/>
  <c r="S322" i="2"/>
  <c r="T324" i="9" l="1"/>
  <c r="T298" i="9"/>
  <c r="T301" i="9"/>
  <c r="Q301" i="9" s="1"/>
  <c r="T249" i="9"/>
  <c r="T124" i="9"/>
  <c r="Q124" i="9" s="1"/>
  <c r="T81" i="9"/>
  <c r="Q81" i="9" s="1"/>
  <c r="Q244" i="9" l="1"/>
  <c r="Q243" i="9" s="1"/>
  <c r="Q249" i="9"/>
  <c r="Q321" i="9"/>
  <c r="U81" i="9"/>
  <c r="T80" i="2" s="1"/>
  <c r="W86" i="1"/>
  <c r="W85" i="1" s="1"/>
  <c r="W84" i="1" s="1"/>
  <c r="W83" i="1" s="1"/>
  <c r="W81" i="1" s="1"/>
  <c r="V86" i="1"/>
  <c r="V85" i="1" s="1"/>
  <c r="V84" i="1" s="1"/>
  <c r="V83" i="1" s="1"/>
  <c r="V81" i="1" s="1"/>
  <c r="W263" i="1"/>
  <c r="W80" i="2" l="1"/>
  <c r="S80" i="2"/>
  <c r="S79" i="2" s="1"/>
  <c r="T79" i="2" l="1"/>
  <c r="T78" i="2" s="1"/>
  <c r="T77" i="2" s="1"/>
  <c r="T76" i="2" s="1"/>
  <c r="S78" i="2"/>
  <c r="S77" i="2" s="1"/>
  <c r="W79" i="2"/>
  <c r="W78" i="2" s="1"/>
  <c r="W77" i="2" s="1"/>
  <c r="P81" i="9"/>
  <c r="R81" i="9" s="1"/>
  <c r="P197" i="9" l="1"/>
  <c r="P196" i="9"/>
  <c r="R196" i="9" s="1"/>
  <c r="V231" i="1"/>
  <c r="V230" i="1"/>
  <c r="V229" i="1"/>
  <c r="V226" i="1"/>
  <c r="V225" i="1"/>
  <c r="V223" i="1"/>
  <c r="S382" i="1"/>
  <c r="S380" i="1"/>
  <c r="S378" i="1"/>
  <c r="S366" i="1"/>
  <c r="S364" i="1"/>
  <c r="S362" i="1"/>
  <c r="S92" i="1"/>
  <c r="S395" i="1" l="1"/>
  <c r="V228" i="1"/>
  <c r="T256" i="9" l="1"/>
  <c r="T224" i="9"/>
  <c r="T160" i="9"/>
  <c r="U74" i="2"/>
  <c r="T74" i="2"/>
  <c r="T227" i="9"/>
  <c r="S227" i="9"/>
  <c r="T225" i="9"/>
  <c r="Q225" i="9" s="1"/>
  <c r="T86" i="9"/>
  <c r="T379" i="1"/>
  <c r="T380" i="1"/>
  <c r="T381" i="1"/>
  <c r="T382" i="1"/>
  <c r="T383" i="1"/>
  <c r="T384" i="1"/>
  <c r="T378" i="1"/>
  <c r="T91" i="1"/>
  <c r="T90" i="1" s="1"/>
  <c r="T89" i="1" s="1"/>
  <c r="T88" i="1" s="1"/>
  <c r="T83" i="1" s="1"/>
  <c r="T81" i="1" s="1"/>
  <c r="S91" i="1"/>
  <c r="S90" i="1" s="1"/>
  <c r="S89" i="1" s="1"/>
  <c r="S88" i="1" s="1"/>
  <c r="S83" i="1" s="1"/>
  <c r="S81" i="1" s="1"/>
  <c r="U92" i="1"/>
  <c r="S86" i="9" s="1"/>
  <c r="P86" i="9" s="1"/>
  <c r="U86" i="9" l="1"/>
  <c r="V85" i="2" s="1"/>
  <c r="V84" i="2" s="1"/>
  <c r="U81" i="1"/>
  <c r="Q86" i="9"/>
  <c r="R86" i="9" s="1"/>
  <c r="S85" i="2" s="1"/>
  <c r="S84" i="2" s="1"/>
  <c r="S83" i="2" s="1"/>
  <c r="S82" i="2" s="1"/>
  <c r="S81" i="2" s="1"/>
  <c r="S76" i="2" s="1"/>
  <c r="S74" i="2" s="1"/>
  <c r="U90" i="1"/>
  <c r="U83" i="1"/>
  <c r="Q224" i="9"/>
  <c r="U91" i="1"/>
  <c r="U88" i="1"/>
  <c r="U89" i="1"/>
  <c r="W228" i="1"/>
  <c r="W220" i="1"/>
  <c r="X230" i="1"/>
  <c r="W85" i="2" l="1"/>
  <c r="Y230" i="1"/>
  <c r="S224" i="9"/>
  <c r="V83" i="2"/>
  <c r="W84" i="2"/>
  <c r="P224" i="9" l="1"/>
  <c r="R224" i="9" s="1"/>
  <c r="U224" i="9"/>
  <c r="U223" i="2" s="1"/>
  <c r="W223" i="2" s="1"/>
  <c r="W83" i="2"/>
  <c r="V82" i="2"/>
  <c r="T25" i="9"/>
  <c r="T28" i="9"/>
  <c r="X224" i="9" l="1"/>
  <c r="S223" i="2"/>
  <c r="Q29" i="1"/>
  <c r="V81" i="2"/>
  <c r="W82" i="2"/>
  <c r="W81" i="2" l="1"/>
  <c r="V76" i="2"/>
  <c r="O4" i="9"/>
  <c r="S225" i="9"/>
  <c r="V224" i="1"/>
  <c r="V222" i="1"/>
  <c r="V221" i="1"/>
  <c r="V211" i="1"/>
  <c r="V201" i="1"/>
  <c r="V189" i="1"/>
  <c r="S183" i="9" s="1"/>
  <c r="V74" i="2" l="1"/>
  <c r="W76" i="2"/>
  <c r="U225" i="9"/>
  <c r="P225" i="9"/>
  <c r="R225" i="9" s="1"/>
  <c r="S224" i="2" s="1"/>
  <c r="U224" i="2" s="1"/>
  <c r="W224" i="2" s="1"/>
  <c r="P227" i="9"/>
  <c r="W74" i="2" l="1"/>
  <c r="P226" i="9"/>
  <c r="T246" i="9"/>
  <c r="T218" i="9"/>
  <c r="Q218" i="9" s="1"/>
  <c r="T216" i="9"/>
  <c r="Q216" i="9" s="1"/>
  <c r="T138" i="9"/>
  <c r="T125" i="9"/>
  <c r="T123" i="9" s="1"/>
  <c r="T99" i="9"/>
  <c r="T58" i="9"/>
  <c r="T57" i="9" s="1"/>
  <c r="T56" i="9" s="1"/>
  <c r="R188" i="9"/>
  <c r="S187" i="2" s="1"/>
  <c r="Z187" i="2" s="1"/>
  <c r="Q103" i="9"/>
  <c r="O220" i="1"/>
  <c r="X146" i="1"/>
  <c r="X145" i="1"/>
  <c r="Y145" i="1" s="1"/>
  <c r="W104" i="1"/>
  <c r="O104" i="1"/>
  <c r="W63" i="1"/>
  <c r="W62" i="1" l="1"/>
  <c r="Q99" i="9"/>
  <c r="Q58" i="9"/>
  <c r="Q57" i="9" s="1"/>
  <c r="Q56" i="9" s="1"/>
  <c r="Q123" i="9" l="1"/>
  <c r="T114" i="2" l="1"/>
  <c r="V114" i="2"/>
  <c r="Z134" i="2"/>
  <c r="Y134" i="2"/>
  <c r="Z133" i="2"/>
  <c r="Y133" i="2"/>
  <c r="Z132" i="2"/>
  <c r="Y132" i="2"/>
  <c r="Z131" i="2"/>
  <c r="Y131" i="2"/>
  <c r="T149" i="2"/>
  <c r="V149" i="2"/>
  <c r="T206" i="2"/>
  <c r="V206" i="2"/>
  <c r="Y224" i="2"/>
  <c r="Z224" i="2"/>
  <c r="Y225" i="2"/>
  <c r="Z225" i="2"/>
  <c r="Y226" i="2"/>
  <c r="Z226" i="2"/>
  <c r="Z282" i="2"/>
  <c r="Z315" i="2"/>
  <c r="Y315" i="2"/>
  <c r="Z314" i="2"/>
  <c r="Y314" i="2"/>
  <c r="Z313" i="2"/>
  <c r="Y313" i="2"/>
  <c r="Z312" i="2"/>
  <c r="Y312" i="2"/>
  <c r="Z311" i="2"/>
  <c r="Y311" i="2"/>
  <c r="Z310" i="2"/>
  <c r="Y310" i="2"/>
  <c r="Z309" i="2"/>
  <c r="Y309" i="2"/>
  <c r="Z306" i="2"/>
  <c r="Y306" i="2"/>
  <c r="Z305" i="2"/>
  <c r="Y305" i="2"/>
  <c r="Z304" i="2"/>
  <c r="Y304" i="2"/>
  <c r="Z303" i="2"/>
  <c r="Y303" i="2"/>
  <c r="Z339" i="2"/>
  <c r="Z338" i="2"/>
  <c r="Z337" i="2"/>
  <c r="Z336" i="2"/>
  <c r="Z335" i="2"/>
  <c r="Z334" i="2"/>
  <c r="Z331" i="2"/>
  <c r="Z330" i="2"/>
  <c r="Z325" i="2"/>
  <c r="O260" i="2"/>
  <c r="Q149" i="2"/>
  <c r="O171" i="2"/>
  <c r="O151" i="2"/>
  <c r="O149" i="2" l="1"/>
  <c r="Q114" i="2"/>
  <c r="O114" i="2"/>
  <c r="Q132" i="2"/>
  <c r="Q131" i="2" s="1"/>
  <c r="O132" i="2"/>
  <c r="O131" i="2" s="1"/>
  <c r="O87" i="2" l="1"/>
  <c r="Z85" i="2"/>
  <c r="Z84" i="2"/>
  <c r="Z83" i="2"/>
  <c r="Z82" i="2"/>
  <c r="Z81" i="2"/>
  <c r="Z80" i="2"/>
  <c r="Z79" i="2"/>
  <c r="Z78" i="2"/>
  <c r="Z77" i="2"/>
  <c r="Z76" i="2"/>
  <c r="Z74" i="2"/>
  <c r="P78" i="2"/>
  <c r="P77" i="2" s="1"/>
  <c r="P76" i="2" l="1"/>
  <c r="P74" i="2" s="1"/>
  <c r="V343" i="9"/>
  <c r="V342" i="2" s="1"/>
  <c r="X135" i="9"/>
  <c r="W135" i="9"/>
  <c r="X134" i="9"/>
  <c r="W134" i="9"/>
  <c r="X133" i="9"/>
  <c r="W133" i="9"/>
  <c r="X132" i="9"/>
  <c r="W132" i="9"/>
  <c r="X323" i="9"/>
  <c r="W323" i="9"/>
  <c r="X322" i="9"/>
  <c r="W322" i="9"/>
  <c r="X331" i="9"/>
  <c r="X332" i="9"/>
  <c r="X335" i="9"/>
  <c r="X336" i="9"/>
  <c r="X337" i="9"/>
  <c r="X338" i="9"/>
  <c r="X339" i="9"/>
  <c r="X340" i="9"/>
  <c r="W325" i="9"/>
  <c r="X325" i="9"/>
  <c r="W326" i="9"/>
  <c r="X326" i="9"/>
  <c r="X304" i="9"/>
  <c r="X305" i="9"/>
  <c r="X306" i="9"/>
  <c r="W307" i="9"/>
  <c r="X307" i="9"/>
  <c r="W310" i="9"/>
  <c r="X310" i="9"/>
  <c r="X311" i="9"/>
  <c r="X312" i="9"/>
  <c r="X313" i="9"/>
  <c r="W314" i="9"/>
  <c r="X314" i="9"/>
  <c r="W315" i="9"/>
  <c r="X315" i="9"/>
  <c r="W316" i="9"/>
  <c r="X316" i="9"/>
  <c r="X196" i="9"/>
  <c r="X197" i="9"/>
  <c r="X198" i="9"/>
  <c r="X188" i="9"/>
  <c r="Q85" i="9"/>
  <c r="Q84" i="9" s="1"/>
  <c r="Q83" i="9" s="1"/>
  <c r="Q82" i="9" s="1"/>
  <c r="Q80" i="9" s="1"/>
  <c r="Q79" i="9" s="1"/>
  <c r="Q78" i="9" s="1"/>
  <c r="Q77" i="9" s="1"/>
  <c r="Q75" i="9" s="1"/>
  <c r="P85" i="9"/>
  <c r="P84" i="9" s="1"/>
  <c r="P83" i="9" s="1"/>
  <c r="P82" i="9" s="1"/>
  <c r="P80" i="9" s="1"/>
  <c r="P79" i="9" s="1"/>
  <c r="P78" i="9" s="1"/>
  <c r="P77" i="9" s="1"/>
  <c r="P75" i="9" s="1"/>
  <c r="T85" i="9"/>
  <c r="T84" i="9" s="1"/>
  <c r="T83" i="9" s="1"/>
  <c r="T82" i="9" s="1"/>
  <c r="T80" i="9" s="1"/>
  <c r="T79" i="9" s="1"/>
  <c r="T78" i="9" s="1"/>
  <c r="T77" i="9" s="1"/>
  <c r="T75" i="9" s="1"/>
  <c r="S85" i="9"/>
  <c r="S84" i="9" s="1"/>
  <c r="S83" i="9" s="1"/>
  <c r="S82" i="9" s="1"/>
  <c r="S80" i="9" s="1"/>
  <c r="S79" i="9" s="1"/>
  <c r="S78" i="9" s="1"/>
  <c r="S77" i="9" s="1"/>
  <c r="S75" i="9" s="1"/>
  <c r="U85" i="9" l="1"/>
  <c r="R85" i="9"/>
  <c r="R84" i="9" s="1"/>
  <c r="R83" i="9" s="1"/>
  <c r="X86" i="9"/>
  <c r="O340" i="9"/>
  <c r="P339" i="2" s="1"/>
  <c r="R339" i="2" s="1"/>
  <c r="O337" i="9"/>
  <c r="P336" i="2" s="1"/>
  <c r="R336" i="2" s="1"/>
  <c r="O332" i="9"/>
  <c r="P331" i="2" s="1"/>
  <c r="R331" i="2" s="1"/>
  <c r="O331" i="9"/>
  <c r="P330" i="2" s="1"/>
  <c r="R330" i="2" s="1"/>
  <c r="O330" i="9"/>
  <c r="O327" i="9"/>
  <c r="P326" i="2" s="1"/>
  <c r="R326" i="2" s="1"/>
  <c r="O326" i="9"/>
  <c r="P325" i="2" s="1"/>
  <c r="R325" i="2" s="1"/>
  <c r="O325" i="9"/>
  <c r="P324" i="2" s="1"/>
  <c r="O329" i="9" l="1"/>
  <c r="O328" i="9" s="1"/>
  <c r="O336" i="9"/>
  <c r="Y336" i="9" s="1"/>
  <c r="O339" i="9"/>
  <c r="P338" i="2" s="1"/>
  <c r="R338" i="2" s="1"/>
  <c r="X338" i="2" s="1"/>
  <c r="AA330" i="2"/>
  <c r="X330" i="2"/>
  <c r="X325" i="2"/>
  <c r="AA325" i="2"/>
  <c r="AA336" i="2"/>
  <c r="X336" i="2"/>
  <c r="X339" i="2"/>
  <c r="AA339" i="2"/>
  <c r="P329" i="2"/>
  <c r="R329" i="2" s="1"/>
  <c r="AA331" i="2"/>
  <c r="X331" i="2"/>
  <c r="Y331" i="9"/>
  <c r="V331" i="9"/>
  <c r="Y325" i="9"/>
  <c r="V325" i="9"/>
  <c r="Y332" i="9"/>
  <c r="V332" i="9"/>
  <c r="Y326" i="9"/>
  <c r="V326" i="9"/>
  <c r="Y337" i="9"/>
  <c r="V337" i="9"/>
  <c r="Y340" i="9"/>
  <c r="V340" i="9"/>
  <c r="U84" i="9"/>
  <c r="X84" i="9" s="1"/>
  <c r="X85" i="9"/>
  <c r="R82" i="9"/>
  <c r="O324" i="9"/>
  <c r="P323" i="2" s="1"/>
  <c r="O323" i="9"/>
  <c r="P322" i="2" s="1"/>
  <c r="O322" i="9"/>
  <c r="P321" i="2" l="1"/>
  <c r="P320" i="2" s="1"/>
  <c r="O321" i="9"/>
  <c r="O320" i="9" s="1"/>
  <c r="P328" i="2"/>
  <c r="R328" i="2" s="1"/>
  <c r="Y339" i="9"/>
  <c r="V339" i="9"/>
  <c r="AA338" i="2"/>
  <c r="O338" i="9"/>
  <c r="P337" i="2" s="1"/>
  <c r="R337" i="2" s="1"/>
  <c r="AA337" i="2" s="1"/>
  <c r="V336" i="9"/>
  <c r="P335" i="2"/>
  <c r="R335" i="2" s="1"/>
  <c r="O335" i="9"/>
  <c r="V323" i="9"/>
  <c r="V322" i="9"/>
  <c r="U83" i="9"/>
  <c r="X83" i="9" s="1"/>
  <c r="R80" i="9"/>
  <c r="R79" i="9" s="1"/>
  <c r="R78" i="9" s="1"/>
  <c r="R77" i="9" s="1"/>
  <c r="R75" i="9" s="1"/>
  <c r="O316" i="9"/>
  <c r="O313" i="9"/>
  <c r="O310" i="9"/>
  <c r="P309" i="2" s="1"/>
  <c r="R309" i="2" s="1"/>
  <c r="X309" i="2" s="1"/>
  <c r="P306" i="2"/>
  <c r="R306" i="2" s="1"/>
  <c r="X306" i="2" s="1"/>
  <c r="O306" i="9"/>
  <c r="O303" i="9"/>
  <c r="P302" i="2" s="1"/>
  <c r="R302" i="2" s="1"/>
  <c r="O302" i="9"/>
  <c r="P301" i="2" s="1"/>
  <c r="R301" i="2" s="1"/>
  <c r="O301" i="9"/>
  <c r="P300" i="2" s="1"/>
  <c r="O300" i="9"/>
  <c r="P299" i="2" s="1"/>
  <c r="O299" i="9"/>
  <c r="P298" i="2" s="1"/>
  <c r="O298" i="9"/>
  <c r="V354" i="2"/>
  <c r="V353" i="2"/>
  <c r="N353" i="9"/>
  <c r="N354" i="2" s="1"/>
  <c r="N352" i="9"/>
  <c r="N353" i="2" s="1"/>
  <c r="O272" i="9"/>
  <c r="P271" i="2" s="1"/>
  <c r="P270" i="2" s="1"/>
  <c r="P269" i="2" s="1"/>
  <c r="O269" i="9"/>
  <c r="P268" i="2" s="1"/>
  <c r="O268" i="9"/>
  <c r="P267" i="2" s="1"/>
  <c r="O267" i="9"/>
  <c r="P266" i="2" s="1"/>
  <c r="O249" i="9"/>
  <c r="P248" i="2" s="1"/>
  <c r="O305" i="9" l="1"/>
  <c r="O304" i="9" s="1"/>
  <c r="O319" i="9"/>
  <c r="O296" i="9"/>
  <c r="P315" i="2"/>
  <c r="P314" i="2" s="1"/>
  <c r="O315" i="9"/>
  <c r="P312" i="2"/>
  <c r="P311" i="2" s="1"/>
  <c r="O312" i="9"/>
  <c r="P305" i="2"/>
  <c r="P297" i="2"/>
  <c r="P295" i="2" s="1"/>
  <c r="R295" i="2" s="1"/>
  <c r="X337" i="2"/>
  <c r="V338" i="9"/>
  <c r="Y338" i="9"/>
  <c r="U82" i="9"/>
  <c r="X82" i="9" s="1"/>
  <c r="P334" i="2"/>
  <c r="R334" i="2" s="1"/>
  <c r="Y335" i="9"/>
  <c r="V335" i="9"/>
  <c r="X335" i="2"/>
  <c r="AA335" i="2"/>
  <c r="P265" i="2"/>
  <c r="AA309" i="2"/>
  <c r="Y306" i="9"/>
  <c r="V306" i="9"/>
  <c r="Y316" i="9"/>
  <c r="V316" i="9"/>
  <c r="Y313" i="9"/>
  <c r="V313" i="9"/>
  <c r="V307" i="9"/>
  <c r="Y310" i="9"/>
  <c r="V310" i="9"/>
  <c r="O266" i="9"/>
  <c r="O227" i="9"/>
  <c r="O224" i="9"/>
  <c r="O225" i="9"/>
  <c r="O223" i="9"/>
  <c r="O216" i="9"/>
  <c r="O217" i="9"/>
  <c r="O218" i="9"/>
  <c r="O219" i="9"/>
  <c r="O220" i="9"/>
  <c r="O215" i="9"/>
  <c r="O198" i="9"/>
  <c r="P197" i="2" s="1"/>
  <c r="R197" i="2" s="1"/>
  <c r="O197" i="9"/>
  <c r="P196" i="2" s="1"/>
  <c r="R196" i="2" s="1"/>
  <c r="AA196" i="2" s="1"/>
  <c r="O196" i="9"/>
  <c r="P195" i="2" s="1"/>
  <c r="R195" i="2" s="1"/>
  <c r="AA195" i="2" s="1"/>
  <c r="O193" i="9"/>
  <c r="P192" i="2" s="1"/>
  <c r="R192" i="2" s="1"/>
  <c r="O188" i="9"/>
  <c r="P187" i="2" s="1"/>
  <c r="R187" i="2" s="1"/>
  <c r="X187" i="2" s="1"/>
  <c r="O178" i="9"/>
  <c r="O170" i="9"/>
  <c r="O167" i="9"/>
  <c r="O166" i="9"/>
  <c r="O164" i="9"/>
  <c r="O163" i="9"/>
  <c r="O160" i="9"/>
  <c r="O159" i="9"/>
  <c r="O158" i="9"/>
  <c r="O148" i="9"/>
  <c r="O142" i="9"/>
  <c r="P141" i="2" s="1"/>
  <c r="O141" i="9"/>
  <c r="P140" i="2" s="1"/>
  <c r="O140" i="9"/>
  <c r="P139" i="2" s="1"/>
  <c r="O139" i="9"/>
  <c r="P138" i="2" s="1"/>
  <c r="O138" i="9"/>
  <c r="P137" i="2" s="1"/>
  <c r="O134" i="9"/>
  <c r="P133" i="2" s="1"/>
  <c r="O135" i="9"/>
  <c r="P134" i="2" s="1"/>
  <c r="R134" i="2" s="1"/>
  <c r="O100" i="9"/>
  <c r="O101" i="9"/>
  <c r="O102" i="9"/>
  <c r="O99" i="9"/>
  <c r="O94" i="9"/>
  <c r="O86" i="9"/>
  <c r="Q85" i="2" s="1"/>
  <c r="O81" i="9"/>
  <c r="O64" i="9"/>
  <c r="R305" i="2" l="1"/>
  <c r="P304" i="2"/>
  <c r="R304" i="2" s="1"/>
  <c r="X304" i="2" s="1"/>
  <c r="R312" i="2"/>
  <c r="P294" i="2"/>
  <c r="R315" i="2"/>
  <c r="AA315" i="2" s="1"/>
  <c r="P177" i="2"/>
  <c r="O222" i="9"/>
  <c r="P224" i="2"/>
  <c r="R224" i="2" s="1"/>
  <c r="AA224" i="2" s="1"/>
  <c r="Y225" i="9"/>
  <c r="P223" i="2"/>
  <c r="R223" i="2" s="1"/>
  <c r="V224" i="9"/>
  <c r="Y224" i="9"/>
  <c r="P98" i="2"/>
  <c r="R98" i="2" s="1"/>
  <c r="O98" i="9"/>
  <c r="X334" i="2"/>
  <c r="AA334" i="2"/>
  <c r="O80" i="9"/>
  <c r="O79" i="9" s="1"/>
  <c r="O78" i="9" s="1"/>
  <c r="O80" i="2"/>
  <c r="R80" i="2" s="1"/>
  <c r="X80" i="2" s="1"/>
  <c r="P132" i="2"/>
  <c r="P131" i="2" s="1"/>
  <c r="R133" i="2"/>
  <c r="X315" i="2"/>
  <c r="R85" i="2"/>
  <c r="Q84" i="2"/>
  <c r="Q83" i="2" s="1"/>
  <c r="Q82" i="2" s="1"/>
  <c r="Q81" i="2" s="1"/>
  <c r="Q76" i="2" s="1"/>
  <c r="Q74" i="2" s="1"/>
  <c r="P136" i="2"/>
  <c r="P313" i="2"/>
  <c r="R313" i="2" s="1"/>
  <c r="R314" i="2"/>
  <c r="P310" i="2"/>
  <c r="R310" i="2" s="1"/>
  <c r="X310" i="2" s="1"/>
  <c r="R311" i="2"/>
  <c r="X311" i="2" s="1"/>
  <c r="O226" i="9"/>
  <c r="P226" i="2"/>
  <c r="X134" i="2"/>
  <c r="AA134" i="2"/>
  <c r="V198" i="9"/>
  <c r="V139" i="9"/>
  <c r="Y139" i="9"/>
  <c r="V196" i="9"/>
  <c r="Y196" i="9"/>
  <c r="O311" i="9"/>
  <c r="Y312" i="9"/>
  <c r="V312" i="9"/>
  <c r="O314" i="9"/>
  <c r="Y315" i="9"/>
  <c r="V315" i="9"/>
  <c r="V135" i="9"/>
  <c r="Y135" i="9"/>
  <c r="Y197" i="9"/>
  <c r="V197" i="9"/>
  <c r="V134" i="9"/>
  <c r="Y134" i="9"/>
  <c r="V188" i="9"/>
  <c r="Y188" i="9"/>
  <c r="Y304" i="9"/>
  <c r="V304" i="9"/>
  <c r="O85" i="9"/>
  <c r="V86" i="9"/>
  <c r="Y86" i="9"/>
  <c r="Y305" i="9"/>
  <c r="V305" i="9"/>
  <c r="U80" i="9"/>
  <c r="X81" i="9"/>
  <c r="Y81" i="9"/>
  <c r="V81" i="9"/>
  <c r="O214" i="9"/>
  <c r="O137" i="9"/>
  <c r="O136" i="9" s="1"/>
  <c r="O133" i="9"/>
  <c r="Z346" i="1"/>
  <c r="Z343" i="1"/>
  <c r="Z338" i="1"/>
  <c r="Z337" i="1"/>
  <c r="Z329" i="1"/>
  <c r="Z328" i="1"/>
  <c r="Z312" i="1"/>
  <c r="Z316" i="1"/>
  <c r="Z319" i="1"/>
  <c r="Z322" i="1"/>
  <c r="Z289" i="1"/>
  <c r="Z233" i="1"/>
  <c r="Z230" i="1"/>
  <c r="Z203" i="1"/>
  <c r="Z204" i="1"/>
  <c r="Z145" i="1"/>
  <c r="X83" i="1"/>
  <c r="Y83" i="1" s="1"/>
  <c r="X92" i="1"/>
  <c r="Y92" i="1" s="1"/>
  <c r="Z92" i="1" s="1"/>
  <c r="X91" i="1"/>
  <c r="Y91" i="1" s="1"/>
  <c r="X90" i="1"/>
  <c r="Y90" i="1" s="1"/>
  <c r="X89" i="1"/>
  <c r="Y89" i="1" s="1"/>
  <c r="X88" i="1"/>
  <c r="Y88" i="1" s="1"/>
  <c r="X87" i="1"/>
  <c r="Y87" i="1" s="1"/>
  <c r="Z87" i="1" s="1"/>
  <c r="X86" i="1"/>
  <c r="Y86" i="1" s="1"/>
  <c r="X85" i="1"/>
  <c r="Y85" i="1" s="1"/>
  <c r="X84" i="1"/>
  <c r="Y84" i="1" s="1"/>
  <c r="R255" i="1"/>
  <c r="R252" i="1"/>
  <c r="R251" i="1"/>
  <c r="R248" i="1"/>
  <c r="R247" i="1"/>
  <c r="AA312" i="2" l="1"/>
  <c r="X312" i="2"/>
  <c r="AA305" i="2"/>
  <c r="X305" i="2"/>
  <c r="R177" i="2"/>
  <c r="P303" i="2"/>
  <c r="R303" i="2" s="1"/>
  <c r="X303" i="2" s="1"/>
  <c r="X224" i="2"/>
  <c r="AA304" i="2"/>
  <c r="O79" i="2"/>
  <c r="O78" i="2" s="1"/>
  <c r="O77" i="2" s="1"/>
  <c r="O221" i="9"/>
  <c r="R226" i="2"/>
  <c r="P225" i="2"/>
  <c r="R225" i="2" s="1"/>
  <c r="X314" i="2"/>
  <c r="AA314" i="2"/>
  <c r="R84" i="2"/>
  <c r="X85" i="2"/>
  <c r="AA85" i="2"/>
  <c r="R132" i="2"/>
  <c r="X133" i="2"/>
  <c r="AA133" i="2"/>
  <c r="X313" i="2"/>
  <c r="AA313" i="2"/>
  <c r="AA311" i="2"/>
  <c r="AA310" i="2"/>
  <c r="O84" i="9"/>
  <c r="V85" i="9"/>
  <c r="Y85" i="9"/>
  <c r="Y311" i="9"/>
  <c r="V311" i="9"/>
  <c r="Y314" i="9"/>
  <c r="V314" i="9"/>
  <c r="O132" i="9"/>
  <c r="O131" i="9" s="1"/>
  <c r="V133" i="9"/>
  <c r="Y133" i="9"/>
  <c r="X80" i="9"/>
  <c r="U79" i="9"/>
  <c r="V80" i="9"/>
  <c r="Y80" i="9"/>
  <c r="O345" i="1"/>
  <c r="O321" i="1"/>
  <c r="Z321" i="1" s="1"/>
  <c r="O318" i="1"/>
  <c r="O301" i="1"/>
  <c r="O272" i="1"/>
  <c r="AA303" i="2" l="1"/>
  <c r="P293" i="2"/>
  <c r="X226" i="2"/>
  <c r="R131" i="2"/>
  <c r="X132" i="2"/>
  <c r="AA132" i="2"/>
  <c r="X225" i="2"/>
  <c r="O76" i="2"/>
  <c r="O74" i="2" s="1"/>
  <c r="R83" i="2"/>
  <c r="AA84" i="2"/>
  <c r="X84" i="2"/>
  <c r="AA80" i="2"/>
  <c r="R79" i="2"/>
  <c r="V132" i="9"/>
  <c r="Y132" i="9"/>
  <c r="O83" i="9"/>
  <c r="Y84" i="9"/>
  <c r="V84" i="9"/>
  <c r="U78" i="9"/>
  <c r="U77" i="9" s="1"/>
  <c r="U75" i="9" s="1"/>
  <c r="X79" i="9"/>
  <c r="V79" i="9"/>
  <c r="Y79" i="9"/>
  <c r="O344" i="1"/>
  <c r="Z344" i="1" s="1"/>
  <c r="Z345" i="1"/>
  <c r="O320" i="1"/>
  <c r="Z320" i="1" s="1"/>
  <c r="Z310" i="1"/>
  <c r="Z311" i="1"/>
  <c r="O341" i="1"/>
  <c r="Z342" i="1"/>
  <c r="O317" i="1"/>
  <c r="Z317" i="1" s="1"/>
  <c r="Z318" i="1"/>
  <c r="O249" i="1"/>
  <c r="O260" i="1"/>
  <c r="O228" i="1"/>
  <c r="O232" i="1"/>
  <c r="Z232" i="1" s="1"/>
  <c r="O206" i="1"/>
  <c r="O139" i="1"/>
  <c r="Z139" i="1" s="1"/>
  <c r="O143" i="1"/>
  <c r="O142" i="1" s="1"/>
  <c r="O91" i="1"/>
  <c r="O86" i="1"/>
  <c r="T78" i="1"/>
  <c r="S78" i="1"/>
  <c r="Q78" i="1"/>
  <c r="P78" i="1"/>
  <c r="O78" i="1"/>
  <c r="O325" i="1" l="1"/>
  <c r="Z341" i="1"/>
  <c r="O300" i="1"/>
  <c r="O299" i="1" s="1"/>
  <c r="X131" i="2"/>
  <c r="AA131" i="2"/>
  <c r="R82" i="2"/>
  <c r="AA83" i="2"/>
  <c r="X83" i="2"/>
  <c r="AA79" i="2"/>
  <c r="X79" i="2"/>
  <c r="R78" i="2"/>
  <c r="O82" i="9"/>
  <c r="V83" i="9"/>
  <c r="Y83" i="9"/>
  <c r="Y78" i="9"/>
  <c r="V78" i="9"/>
  <c r="X78" i="9"/>
  <c r="O138" i="1"/>
  <c r="Z138" i="1" s="1"/>
  <c r="O85" i="1"/>
  <c r="Z86" i="1"/>
  <c r="O90" i="1"/>
  <c r="Z91" i="1"/>
  <c r="O227" i="1"/>
  <c r="W78" i="1"/>
  <c r="R77" i="2" l="1"/>
  <c r="X78" i="2"/>
  <c r="AA78" i="2"/>
  <c r="R81" i="2"/>
  <c r="X82" i="2"/>
  <c r="AA82" i="2"/>
  <c r="V82" i="9"/>
  <c r="V77" i="9" s="1"/>
  <c r="V75" i="9" s="1"/>
  <c r="Y82" i="9"/>
  <c r="O77" i="9"/>
  <c r="O75" i="9" s="1"/>
  <c r="Y75" i="9" s="1"/>
  <c r="O89" i="1"/>
  <c r="Z90" i="1"/>
  <c r="O137" i="1"/>
  <c r="O84" i="1"/>
  <c r="Z85" i="1"/>
  <c r="AA77" i="2" l="1"/>
  <c r="X77" i="2"/>
  <c r="R76" i="2"/>
  <c r="AA81" i="2"/>
  <c r="X81" i="2"/>
  <c r="O88" i="1"/>
  <c r="Z88" i="1" s="1"/>
  <c r="Z89" i="1"/>
  <c r="Z84" i="1"/>
  <c r="R74" i="2" l="1"/>
  <c r="AA76" i="2"/>
  <c r="X76" i="2"/>
  <c r="O83" i="1"/>
  <c r="O81" i="1" s="1"/>
  <c r="T201" i="9"/>
  <c r="T287" i="9"/>
  <c r="T286" i="9" s="1"/>
  <c r="T285" i="9" s="1"/>
  <c r="T202" i="9"/>
  <c r="T255" i="9"/>
  <c r="T282" i="9"/>
  <c r="U281" i="2" s="1"/>
  <c r="T183" i="9"/>
  <c r="Q183" i="9" s="1"/>
  <c r="T148" i="9"/>
  <c r="Q148" i="9" s="1"/>
  <c r="T121" i="9"/>
  <c r="Q286" i="9" l="1"/>
  <c r="Q285" i="9" s="1"/>
  <c r="X74" i="2"/>
  <c r="AA74" i="2"/>
  <c r="Z83" i="1"/>
  <c r="W284" i="2"/>
  <c r="Y123" i="2"/>
  <c r="Z123" i="2"/>
  <c r="W283" i="9"/>
  <c r="X283" i="9"/>
  <c r="O255" i="9"/>
  <c r="O238" i="9"/>
  <c r="P237" i="2" s="1"/>
  <c r="O124" i="9"/>
  <c r="P123" i="2" s="1"/>
  <c r="R123" i="2" s="1"/>
  <c r="AA123" i="2" s="1"/>
  <c r="O125" i="9"/>
  <c r="O107" i="9"/>
  <c r="O73" i="9"/>
  <c r="O72" i="9" s="1"/>
  <c r="O36" i="9"/>
  <c r="O27" i="9"/>
  <c r="O28" i="9"/>
  <c r="O29" i="9"/>
  <c r="O30" i="9"/>
  <c r="O31" i="9"/>
  <c r="O32" i="9"/>
  <c r="O33" i="9"/>
  <c r="O26" i="9"/>
  <c r="O25" i="9"/>
  <c r="O24" i="9"/>
  <c r="O283" i="9"/>
  <c r="O282" i="9"/>
  <c r="P281" i="2" s="1"/>
  <c r="O241" i="9"/>
  <c r="P240" i="2" s="1"/>
  <c r="O256" i="9"/>
  <c r="P255" i="2" s="1"/>
  <c r="O240" i="9"/>
  <c r="P239" i="2" s="1"/>
  <c r="O236" i="9"/>
  <c r="O234" i="9"/>
  <c r="O245" i="9"/>
  <c r="O259" i="9"/>
  <c r="P258" i="2" s="1"/>
  <c r="P257" i="2" s="1"/>
  <c r="P256" i="2" s="1"/>
  <c r="O239" i="9"/>
  <c r="P238" i="2" s="1"/>
  <c r="O254" i="9" l="1"/>
  <c r="P244" i="2"/>
  <c r="P254" i="2"/>
  <c r="P253" i="2" s="1"/>
  <c r="P252" i="2" s="1"/>
  <c r="P282" i="2"/>
  <c r="R282" i="2" s="1"/>
  <c r="O123" i="9"/>
  <c r="O287" i="9"/>
  <c r="X123" i="2"/>
  <c r="P124" i="2"/>
  <c r="P122" i="2" s="1"/>
  <c r="O237" i="9"/>
  <c r="P236" i="2" s="1"/>
  <c r="O259" i="1"/>
  <c r="X282" i="2" l="1"/>
  <c r="O286" i="9"/>
  <c r="O285" i="9" s="1"/>
  <c r="P286" i="2"/>
  <c r="P285" i="2" s="1"/>
  <c r="P284" i="2" s="1"/>
  <c r="R284" i="2" s="1"/>
  <c r="O186" i="9"/>
  <c r="O180" i="9"/>
  <c r="X284" i="2" l="1"/>
  <c r="AA284" i="2"/>
  <c r="O185" i="9"/>
  <c r="W129" i="1"/>
  <c r="O121" i="9"/>
  <c r="O129" i="1"/>
  <c r="X130" i="1"/>
  <c r="Y130" i="1" s="1"/>
  <c r="Z130" i="1" s="1"/>
  <c r="O112" i="9"/>
  <c r="O113" i="9"/>
  <c r="O110" i="9"/>
  <c r="O70" i="9"/>
  <c r="O55" i="9"/>
  <c r="O54" i="9"/>
  <c r="O52" i="9"/>
  <c r="O51" i="9"/>
  <c r="O50" i="9"/>
  <c r="O44" i="9"/>
  <c r="T128" i="9" l="1"/>
  <c r="T303" i="9" l="1"/>
  <c r="T299" i="9"/>
  <c r="T180" i="9"/>
  <c r="T179" i="9"/>
  <c r="T296" i="9" l="1"/>
  <c r="Q299" i="9"/>
  <c r="Q296" i="9" s="1"/>
  <c r="U299" i="9"/>
  <c r="Q295" i="9" l="1"/>
  <c r="Q294" i="9" s="1"/>
  <c r="T327" i="9"/>
  <c r="T73" i="9"/>
  <c r="Q320" i="9" l="1"/>
  <c r="T321" i="9"/>
  <c r="T320" i="9" s="1"/>
  <c r="T72" i="9"/>
  <c r="T71" i="9" s="1"/>
  <c r="Q72" i="9"/>
  <c r="Q71" i="9" s="1"/>
  <c r="T280" i="2"/>
  <c r="T279" i="2" s="1"/>
  <c r="T278" i="2" s="1"/>
  <c r="T277" i="2" s="1"/>
  <c r="T275" i="2" s="1"/>
  <c r="T273" i="2" s="1"/>
  <c r="V280" i="2"/>
  <c r="V279" i="2" s="1"/>
  <c r="V278" i="2" s="1"/>
  <c r="V277" i="2" s="1"/>
  <c r="V275" i="2" s="1"/>
  <c r="V273" i="2" s="1"/>
  <c r="T167" i="9" l="1"/>
  <c r="T166" i="9"/>
  <c r="T330" i="9"/>
  <c r="T284" i="9"/>
  <c r="T268" i="9"/>
  <c r="T245" i="9"/>
  <c r="T237" i="9"/>
  <c r="T239" i="9"/>
  <c r="T329" i="9" l="1"/>
  <c r="T328" i="9" s="1"/>
  <c r="T319" i="9" s="1"/>
  <c r="T281" i="9"/>
  <c r="T244" i="9"/>
  <c r="T243" i="9" s="1"/>
  <c r="T185" i="9"/>
  <c r="T113" i="9" l="1"/>
  <c r="T112" i="9"/>
  <c r="T44" i="9"/>
  <c r="P250" i="1"/>
  <c r="Q250" i="1"/>
  <c r="Q249" i="1" s="1"/>
  <c r="S250" i="1"/>
  <c r="S249" i="1" s="1"/>
  <c r="T250" i="1"/>
  <c r="T249" i="1" s="1"/>
  <c r="W249" i="1"/>
  <c r="X288" i="1"/>
  <c r="X245" i="1"/>
  <c r="Y245" i="1" s="1"/>
  <c r="Q319" i="9" l="1"/>
  <c r="P249" i="1"/>
  <c r="R250" i="1"/>
  <c r="U249" i="1"/>
  <c r="S268" i="9"/>
  <c r="S267" i="9"/>
  <c r="S255" i="9"/>
  <c r="S239" i="9"/>
  <c r="S216" i="9"/>
  <c r="P216" i="9" s="1"/>
  <c r="S218" i="9"/>
  <c r="P218" i="9" s="1"/>
  <c r="S182" i="9"/>
  <c r="S140" i="9"/>
  <c r="R249" i="1" l="1"/>
  <c r="S242" i="9" l="1"/>
  <c r="S238" i="9"/>
  <c r="P238" i="9" s="1"/>
  <c r="P232" i="9" s="1"/>
  <c r="S220" i="9"/>
  <c r="P220" i="9" s="1"/>
  <c r="S217" i="9"/>
  <c r="P217" i="9" s="1"/>
  <c r="S215" i="9"/>
  <c r="P215" i="9" s="1"/>
  <c r="S142" i="9"/>
  <c r="W389" i="1" l="1"/>
  <c r="AE27" i="9" l="1"/>
  <c r="V48" i="2" l="1"/>
  <c r="T48" i="2"/>
  <c r="T242" i="9" l="1"/>
  <c r="T235" i="9"/>
  <c r="T234" i="9"/>
  <c r="Q227" i="9"/>
  <c r="R227" i="9" s="1"/>
  <c r="T215" i="9"/>
  <c r="Q215" i="9" s="1"/>
  <c r="T36" i="9" l="1"/>
  <c r="Q36" i="9" s="1"/>
  <c r="T217" i="9" l="1"/>
  <c r="T272" i="9" l="1"/>
  <c r="T240" i="9"/>
  <c r="T238" i="9"/>
  <c r="Q238" i="9" s="1"/>
  <c r="Q232" i="9" s="1"/>
  <c r="T194" i="9"/>
  <c r="T184" i="9"/>
  <c r="Q184" i="9" s="1"/>
  <c r="T142" i="9"/>
  <c r="T141" i="9"/>
  <c r="T51" i="9"/>
  <c r="T52" i="9"/>
  <c r="T53" i="9"/>
  <c r="T54" i="9"/>
  <c r="T55" i="9"/>
  <c r="T50" i="9"/>
  <c r="P277" i="1"/>
  <c r="P276" i="1" s="1"/>
  <c r="Q277" i="1"/>
  <c r="Q276" i="1" s="1"/>
  <c r="S277" i="1"/>
  <c r="S276" i="1" s="1"/>
  <c r="T277" i="1"/>
  <c r="T276" i="1" s="1"/>
  <c r="W277" i="1"/>
  <c r="W276" i="1" s="1"/>
  <c r="Q137" i="9" l="1"/>
  <c r="Q136" i="9" s="1"/>
  <c r="Q131" i="9" s="1"/>
  <c r="T137" i="9"/>
  <c r="T136" i="9" s="1"/>
  <c r="T131" i="9" s="1"/>
  <c r="V221" i="2"/>
  <c r="V220" i="2" s="1"/>
  <c r="T221" i="2"/>
  <c r="T220" i="2" s="1"/>
  <c r="S223" i="9" l="1"/>
  <c r="S222" i="9" s="1"/>
  <c r="S219" i="9"/>
  <c r="P219" i="9" s="1"/>
  <c r="S205" i="9"/>
  <c r="S195" i="9"/>
  <c r="P195" i="9" s="1"/>
  <c r="P223" i="9" l="1"/>
  <c r="S204" i="9"/>
  <c r="S203" i="9" s="1"/>
  <c r="P205" i="9"/>
  <c r="S221" i="9"/>
  <c r="T236" i="9"/>
  <c r="AG161" i="1"/>
  <c r="T269" i="9"/>
  <c r="Q269" i="9" s="1"/>
  <c r="T241" i="9"/>
  <c r="T223" i="9"/>
  <c r="T220" i="9"/>
  <c r="Q220" i="9" s="1"/>
  <c r="T219" i="9"/>
  <c r="Q219" i="9" s="1"/>
  <c r="T205" i="9"/>
  <c r="Q205" i="9" s="1"/>
  <c r="T195" i="9"/>
  <c r="T192" i="9"/>
  <c r="T187" i="9"/>
  <c r="T186" i="9"/>
  <c r="T181" i="9"/>
  <c r="T170" i="9"/>
  <c r="T163" i="9"/>
  <c r="T159" i="9"/>
  <c r="T158" i="9"/>
  <c r="Q158" i="9" s="1"/>
  <c r="P222" i="9" l="1"/>
  <c r="P221" i="9" s="1"/>
  <c r="T177" i="9"/>
  <c r="Q177" i="9"/>
  <c r="Q192" i="9"/>
  <c r="Q191" i="9" s="1"/>
  <c r="T191" i="9"/>
  <c r="T257" i="9"/>
  <c r="Q258" i="9"/>
  <c r="Q231" i="9"/>
  <c r="Q157" i="9"/>
  <c r="Q223" i="9"/>
  <c r="Q222" i="9" s="1"/>
  <c r="T222" i="9"/>
  <c r="T232" i="9"/>
  <c r="T231" i="9" s="1"/>
  <c r="R222" i="9" l="1"/>
  <c r="S221" i="2" s="1"/>
  <c r="T221" i="9"/>
  <c r="U222" i="9"/>
  <c r="T110" i="9"/>
  <c r="T109" i="9"/>
  <c r="T108" i="9"/>
  <c r="T107" i="9"/>
  <c r="T102" i="9"/>
  <c r="T101" i="9"/>
  <c r="T100" i="9"/>
  <c r="T94" i="9"/>
  <c r="T70" i="9"/>
  <c r="T64" i="9"/>
  <c r="Q100" i="9" l="1"/>
  <c r="Q98" i="9" s="1"/>
  <c r="T98" i="9"/>
  <c r="T69" i="9"/>
  <c r="T68" i="9" s="1"/>
  <c r="T67" i="9" s="1"/>
  <c r="T66" i="9" s="1"/>
  <c r="Q69" i="9"/>
  <c r="Q68" i="9" s="1"/>
  <c r="Q67" i="9" s="1"/>
  <c r="Q66" i="9" s="1"/>
  <c r="T37" i="2"/>
  <c r="V37" i="2"/>
  <c r="V16" i="2" s="1"/>
  <c r="V14" i="2" s="1"/>
  <c r="R39" i="9" l="1"/>
  <c r="T395" i="1" l="1"/>
  <c r="U389" i="1" l="1"/>
  <c r="R389" i="1"/>
  <c r="X387" i="1"/>
  <c r="U387" i="1"/>
  <c r="R387" i="1"/>
  <c r="U386" i="1"/>
  <c r="R386" i="1"/>
  <c r="X385" i="1"/>
  <c r="U385" i="1"/>
  <c r="R385" i="1"/>
  <c r="X384" i="1"/>
  <c r="U384" i="1"/>
  <c r="R384" i="1"/>
  <c r="U383" i="1"/>
  <c r="R383" i="1"/>
  <c r="U382" i="1"/>
  <c r="R382" i="1"/>
  <c r="U381" i="1"/>
  <c r="U380" i="1"/>
  <c r="R380" i="1"/>
  <c r="X379" i="1"/>
  <c r="U379" i="1"/>
  <c r="R379" i="1"/>
  <c r="U378" i="1"/>
  <c r="U395" i="1" l="1"/>
  <c r="Y384" i="1"/>
  <c r="Y385" i="1"/>
  <c r="Y379" i="1"/>
  <c r="Y387" i="1"/>
  <c r="T376" i="1"/>
  <c r="S376" i="1"/>
  <c r="U372" i="1"/>
  <c r="R372" i="1"/>
  <c r="X371" i="1"/>
  <c r="U371" i="1"/>
  <c r="R371" i="1"/>
  <c r="U370" i="1"/>
  <c r="R370" i="1"/>
  <c r="X369" i="1"/>
  <c r="U369" i="1"/>
  <c r="R369" i="1"/>
  <c r="X368" i="1"/>
  <c r="U368" i="1"/>
  <c r="R368" i="1"/>
  <c r="U367" i="1"/>
  <c r="R367" i="1"/>
  <c r="U366" i="1"/>
  <c r="R366" i="1"/>
  <c r="Y368" i="1" l="1"/>
  <c r="Y369" i="1"/>
  <c r="Y371" i="1"/>
  <c r="U365" i="1"/>
  <c r="U364" i="1"/>
  <c r="R364" i="1"/>
  <c r="X363" i="1"/>
  <c r="U363" i="1"/>
  <c r="R363" i="1"/>
  <c r="U362" i="1"/>
  <c r="U376" i="1" l="1"/>
  <c r="Y363" i="1"/>
  <c r="U336" i="1" l="1"/>
  <c r="R336" i="1"/>
  <c r="T335" i="1"/>
  <c r="S335" i="1"/>
  <c r="Q335" i="1"/>
  <c r="P335" i="1"/>
  <c r="U333" i="1"/>
  <c r="R333" i="1"/>
  <c r="U330" i="1"/>
  <c r="R330" i="1"/>
  <c r="T327" i="1"/>
  <c r="S327" i="1"/>
  <c r="Q327" i="1"/>
  <c r="P327" i="1"/>
  <c r="P326" i="1" s="1"/>
  <c r="U309" i="1"/>
  <c r="R309" i="1"/>
  <c r="X307" i="1"/>
  <c r="U307" i="1"/>
  <c r="R307" i="1"/>
  <c r="X305" i="1"/>
  <c r="U305" i="1"/>
  <c r="R305" i="1"/>
  <c r="U304" i="1"/>
  <c r="R304" i="1"/>
  <c r="T302" i="1"/>
  <c r="S302" i="1"/>
  <c r="Q302" i="1"/>
  <c r="P302" i="1"/>
  <c r="O292" i="1"/>
  <c r="O291" i="1" s="1"/>
  <c r="W292" i="1"/>
  <c r="W291" i="1" s="1"/>
  <c r="U292" i="1"/>
  <c r="U291" i="1" s="1"/>
  <c r="T292" i="1"/>
  <c r="T291" i="1" s="1"/>
  <c r="S292" i="1"/>
  <c r="S291" i="1" s="1"/>
  <c r="R292" i="1"/>
  <c r="R291" i="1" s="1"/>
  <c r="Q292" i="1"/>
  <c r="Q291" i="1" s="1"/>
  <c r="P292" i="1"/>
  <c r="P291" i="1" s="1"/>
  <c r="R290" i="1"/>
  <c r="R288" i="1"/>
  <c r="W287" i="1"/>
  <c r="U287" i="1"/>
  <c r="T287" i="1"/>
  <c r="S287" i="1"/>
  <c r="Q287" i="1"/>
  <c r="P287" i="1"/>
  <c r="U277" i="1"/>
  <c r="R277" i="1"/>
  <c r="U275" i="1"/>
  <c r="R275" i="1"/>
  <c r="X274" i="1"/>
  <c r="U274" i="1"/>
  <c r="R274" i="1"/>
  <c r="X273" i="1"/>
  <c r="U273" i="1"/>
  <c r="R273" i="1"/>
  <c r="W272" i="1"/>
  <c r="T272" i="1"/>
  <c r="S272" i="1"/>
  <c r="S271" i="1" s="1"/>
  <c r="Q272" i="1"/>
  <c r="P272" i="1"/>
  <c r="P271" i="1" s="1"/>
  <c r="U265" i="1"/>
  <c r="R265" i="1"/>
  <c r="U264" i="1"/>
  <c r="R264" i="1"/>
  <c r="O264" i="1"/>
  <c r="T263" i="1"/>
  <c r="S263" i="1"/>
  <c r="Q263" i="1"/>
  <c r="P263" i="1"/>
  <c r="U262" i="1"/>
  <c r="R262" i="1"/>
  <c r="X261" i="1"/>
  <c r="U261" i="1"/>
  <c r="R261" i="1"/>
  <c r="T260" i="1"/>
  <c r="S260" i="1"/>
  <c r="S259" i="1" s="1"/>
  <c r="Q260" i="1"/>
  <c r="P260" i="1"/>
  <c r="U252" i="1"/>
  <c r="O246" i="9"/>
  <c r="O244" i="9" s="1"/>
  <c r="X248" i="1"/>
  <c r="U248" i="1"/>
  <c r="O242" i="9"/>
  <c r="P241" i="2" s="1"/>
  <c r="R241" i="2" s="1"/>
  <c r="U247" i="1"/>
  <c r="U246" i="1"/>
  <c r="R246" i="1"/>
  <c r="Z245" i="1"/>
  <c r="X244" i="1"/>
  <c r="U244" i="1"/>
  <c r="R244" i="1"/>
  <c r="U243" i="1"/>
  <c r="R243" i="1"/>
  <c r="U242" i="1"/>
  <c r="R242" i="1"/>
  <c r="U241" i="1"/>
  <c r="R241" i="1"/>
  <c r="O235" i="9"/>
  <c r="U240" i="1"/>
  <c r="R240" i="1"/>
  <c r="T238" i="1"/>
  <c r="S238" i="1"/>
  <c r="S237" i="1" s="1"/>
  <c r="Q238" i="1"/>
  <c r="P238" i="1"/>
  <c r="P237" i="1" s="1"/>
  <c r="X231" i="1"/>
  <c r="U231" i="1"/>
  <c r="R231" i="1"/>
  <c r="X229" i="1"/>
  <c r="U229" i="1"/>
  <c r="R229" i="1"/>
  <c r="V227" i="1"/>
  <c r="T228" i="1"/>
  <c r="S228" i="1"/>
  <c r="Q228" i="1"/>
  <c r="P228" i="1"/>
  <c r="X226" i="1"/>
  <c r="U226" i="1"/>
  <c r="R226" i="1"/>
  <c r="X225" i="1"/>
  <c r="U225" i="1"/>
  <c r="R225" i="1"/>
  <c r="X224" i="1"/>
  <c r="U224" i="1"/>
  <c r="R224" i="1"/>
  <c r="X223" i="1"/>
  <c r="U223" i="1"/>
  <c r="R223" i="1"/>
  <c r="X222" i="1"/>
  <c r="U222" i="1"/>
  <c r="R222" i="1"/>
  <c r="X221" i="1"/>
  <c r="U221" i="1"/>
  <c r="R221" i="1"/>
  <c r="V220" i="1"/>
  <c r="V219" i="1" s="1"/>
  <c r="T220" i="1"/>
  <c r="S220" i="1"/>
  <c r="Q220" i="1"/>
  <c r="P220" i="1"/>
  <c r="O232" i="9" l="1"/>
  <c r="Y309" i="1"/>
  <c r="Z309" i="1" s="1"/>
  <c r="O243" i="9"/>
  <c r="P245" i="2"/>
  <c r="S286" i="1"/>
  <c r="W286" i="1"/>
  <c r="O237" i="1"/>
  <c r="O236" i="1" s="1"/>
  <c r="O234" i="1" s="1"/>
  <c r="T286" i="1"/>
  <c r="O287" i="1"/>
  <c r="O286" i="1" s="1"/>
  <c r="O284" i="9"/>
  <c r="U286" i="1"/>
  <c r="S236" i="1"/>
  <c r="S235" i="1" s="1"/>
  <c r="R302" i="1"/>
  <c r="O263" i="1"/>
  <c r="R220" i="1"/>
  <c r="P286" i="1"/>
  <c r="R287" i="1"/>
  <c r="R286" i="1" s="1"/>
  <c r="Y288" i="1"/>
  <c r="U335" i="1"/>
  <c r="U220" i="1"/>
  <c r="U250" i="1"/>
  <c r="O277" i="1"/>
  <c r="U302" i="1"/>
  <c r="Y305" i="1"/>
  <c r="Z305" i="1" s="1"/>
  <c r="U327" i="1"/>
  <c r="R335" i="1"/>
  <c r="Q286" i="1"/>
  <c r="P219" i="1"/>
  <c r="O219" i="1" s="1"/>
  <c r="O218" i="1" s="1"/>
  <c r="U260" i="1"/>
  <c r="O271" i="1"/>
  <c r="R272" i="1"/>
  <c r="X220" i="1"/>
  <c r="S270" i="1"/>
  <c r="S269" i="1" s="1"/>
  <c r="S267" i="1" s="1"/>
  <c r="U272" i="1"/>
  <c r="Y273" i="1"/>
  <c r="Z273" i="1" s="1"/>
  <c r="Y274" i="1"/>
  <c r="Z274" i="1" s="1"/>
  <c r="Y248" i="1"/>
  <c r="Y261" i="1"/>
  <c r="Z261" i="1" s="1"/>
  <c r="R238" i="1"/>
  <c r="U238" i="1"/>
  <c r="S219" i="1"/>
  <c r="R228" i="1"/>
  <c r="U228" i="1"/>
  <c r="X228" i="1"/>
  <c r="P259" i="1"/>
  <c r="P236" i="1" s="1"/>
  <c r="P235" i="1" s="1"/>
  <c r="P301" i="1"/>
  <c r="Y307" i="1"/>
  <c r="Z307" i="1" s="1"/>
  <c r="R263" i="1"/>
  <c r="U263" i="1"/>
  <c r="R327" i="1"/>
  <c r="Y221" i="1"/>
  <c r="Z221" i="1" s="1"/>
  <c r="Y222" i="1"/>
  <c r="Z222" i="1" s="1"/>
  <c r="Y223" i="1"/>
  <c r="Z223" i="1" s="1"/>
  <c r="Y224" i="1"/>
  <c r="Z224" i="1" s="1"/>
  <c r="Y225" i="1"/>
  <c r="Z225" i="1" s="1"/>
  <c r="Y226" i="1"/>
  <c r="Z226" i="1" s="1"/>
  <c r="Y229" i="1"/>
  <c r="Z229" i="1" s="1"/>
  <c r="Y231" i="1"/>
  <c r="Y244" i="1"/>
  <c r="Z244" i="1" s="1"/>
  <c r="R260" i="1"/>
  <c r="P243" i="2" l="1"/>
  <c r="P242" i="2" s="1"/>
  <c r="O281" i="9"/>
  <c r="P283" i="2"/>
  <c r="P280" i="2" s="1"/>
  <c r="Y220" i="1"/>
  <c r="Z220" i="1" s="1"/>
  <c r="O276" i="1"/>
  <c r="O270" i="1" s="1"/>
  <c r="P270" i="1"/>
  <c r="P300" i="1"/>
  <c r="Y228" i="1"/>
  <c r="Z228" i="1" s="1"/>
  <c r="X211" i="1"/>
  <c r="U211" i="1"/>
  <c r="R211" i="1"/>
  <c r="O205" i="9"/>
  <c r="W210" i="1"/>
  <c r="V210" i="1"/>
  <c r="T210" i="1"/>
  <c r="S210" i="1"/>
  <c r="Q210" i="1"/>
  <c r="P210" i="1"/>
  <c r="U208" i="1"/>
  <c r="R208" i="1"/>
  <c r="O202" i="9"/>
  <c r="U207" i="1"/>
  <c r="R207" i="1"/>
  <c r="O201" i="9"/>
  <c r="W206" i="1"/>
  <c r="W205" i="1" s="1"/>
  <c r="T206" i="1"/>
  <c r="T205" i="1" s="1"/>
  <c r="S206" i="1"/>
  <c r="S205" i="1" s="1"/>
  <c r="Q206" i="1"/>
  <c r="Q205" i="1" s="1"/>
  <c r="P206" i="1"/>
  <c r="P205" i="1" s="1"/>
  <c r="X201" i="1"/>
  <c r="U201" i="1"/>
  <c r="R201" i="1"/>
  <c r="O195" i="9"/>
  <c r="U200" i="1"/>
  <c r="R200" i="1"/>
  <c r="O194" i="9"/>
  <c r="U198" i="1"/>
  <c r="R198" i="1"/>
  <c r="O192" i="9"/>
  <c r="T197" i="1"/>
  <c r="S197" i="1"/>
  <c r="Q197" i="1"/>
  <c r="P197" i="1"/>
  <c r="U193" i="1"/>
  <c r="R193" i="1"/>
  <c r="O187" i="9"/>
  <c r="U192" i="1"/>
  <c r="R192" i="1"/>
  <c r="U191" i="1"/>
  <c r="R191" i="1"/>
  <c r="U190" i="1"/>
  <c r="R190" i="1"/>
  <c r="O184" i="9"/>
  <c r="X189" i="1"/>
  <c r="U189" i="1"/>
  <c r="R189" i="1"/>
  <c r="O183" i="9"/>
  <c r="X188" i="1"/>
  <c r="U188" i="1"/>
  <c r="R188" i="1"/>
  <c r="O182" i="9"/>
  <c r="U187" i="1"/>
  <c r="R187" i="1"/>
  <c r="O181" i="9"/>
  <c r="U186" i="1"/>
  <c r="R186" i="1"/>
  <c r="U185" i="1"/>
  <c r="R185" i="1"/>
  <c r="W182" i="1"/>
  <c r="T183" i="1"/>
  <c r="T182" i="1" s="1"/>
  <c r="S183" i="1"/>
  <c r="S182" i="1" s="1"/>
  <c r="Q183" i="1"/>
  <c r="Q182" i="1" s="1"/>
  <c r="P183" i="1"/>
  <c r="P182" i="1" s="1"/>
  <c r="O191" i="9" l="1"/>
  <c r="O182" i="1"/>
  <c r="O179" i="9"/>
  <c r="O177" i="9" s="1"/>
  <c r="O205" i="1"/>
  <c r="R210" i="1"/>
  <c r="U210" i="1"/>
  <c r="X210" i="1"/>
  <c r="Y211" i="1"/>
  <c r="Y188" i="1"/>
  <c r="Z188" i="1" s="1"/>
  <c r="Y189" i="1"/>
  <c r="Z189" i="1" s="1"/>
  <c r="P269" i="1"/>
  <c r="U182" i="1"/>
  <c r="R182" i="1"/>
  <c r="R205" i="1"/>
  <c r="U205" i="1"/>
  <c r="S209" i="1"/>
  <c r="R183" i="1"/>
  <c r="U183" i="1"/>
  <c r="R197" i="1"/>
  <c r="U197" i="1"/>
  <c r="Y201" i="1"/>
  <c r="Z201" i="1" s="1"/>
  <c r="U206" i="1"/>
  <c r="P209" i="1"/>
  <c r="V209" i="1"/>
  <c r="R206" i="1"/>
  <c r="O210" i="1"/>
  <c r="O209" i="1" s="1"/>
  <c r="U176" i="1"/>
  <c r="R176" i="1"/>
  <c r="O175" i="1"/>
  <c r="W175" i="1"/>
  <c r="W174" i="1" s="1"/>
  <c r="T175" i="1"/>
  <c r="T174" i="1" s="1"/>
  <c r="S175" i="1"/>
  <c r="S174" i="1" s="1"/>
  <c r="Q175" i="1"/>
  <c r="Q174" i="1" s="1"/>
  <c r="P175" i="1"/>
  <c r="P174" i="1" s="1"/>
  <c r="U173" i="1"/>
  <c r="R173" i="1"/>
  <c r="U172" i="1"/>
  <c r="R172" i="1"/>
  <c r="W171" i="1"/>
  <c r="T171" i="1"/>
  <c r="S171" i="1"/>
  <c r="Q171" i="1"/>
  <c r="P171" i="1"/>
  <c r="X170" i="1"/>
  <c r="U170" i="1"/>
  <c r="R170" i="1"/>
  <c r="U169" i="1"/>
  <c r="R169" i="1"/>
  <c r="W168" i="1"/>
  <c r="T168" i="1"/>
  <c r="S168" i="1"/>
  <c r="Q168" i="1"/>
  <c r="P168" i="1"/>
  <c r="U166" i="1"/>
  <c r="R166" i="1"/>
  <c r="U165" i="1"/>
  <c r="R165" i="1"/>
  <c r="U164" i="1"/>
  <c r="R164" i="1"/>
  <c r="W163" i="1"/>
  <c r="W162" i="1" s="1"/>
  <c r="T163" i="1"/>
  <c r="T162" i="1" s="1"/>
  <c r="S163" i="1"/>
  <c r="S162" i="1" s="1"/>
  <c r="Q163" i="1"/>
  <c r="Q162" i="1" s="1"/>
  <c r="P163" i="1"/>
  <c r="P162" i="1" s="1"/>
  <c r="U154" i="1"/>
  <c r="R154" i="1"/>
  <c r="O153" i="1"/>
  <c r="O152" i="1" s="1"/>
  <c r="O151" i="1" s="1"/>
  <c r="O150" i="1" s="1"/>
  <c r="W153" i="1"/>
  <c r="T153" i="1"/>
  <c r="S153" i="1"/>
  <c r="Q153" i="1"/>
  <c r="Q152" i="1" s="1"/>
  <c r="P153" i="1"/>
  <c r="X148" i="1"/>
  <c r="U148" i="1"/>
  <c r="R148" i="1"/>
  <c r="U147" i="1"/>
  <c r="R147" i="1"/>
  <c r="U146" i="1"/>
  <c r="R146" i="1"/>
  <c r="W143" i="1"/>
  <c r="W142" i="1" s="1"/>
  <c r="W137" i="1" s="1"/>
  <c r="W136" i="1" s="1"/>
  <c r="T143" i="1"/>
  <c r="S143" i="1"/>
  <c r="Q143" i="1"/>
  <c r="P143" i="1"/>
  <c r="U134" i="1"/>
  <c r="R134" i="1"/>
  <c r="O128" i="9"/>
  <c r="P127" i="2" s="1"/>
  <c r="W133" i="1"/>
  <c r="W132" i="1" s="1"/>
  <c r="T133" i="1"/>
  <c r="S133" i="1"/>
  <c r="S132" i="1" s="1"/>
  <c r="Q133" i="1"/>
  <c r="P133" i="1"/>
  <c r="U131" i="1"/>
  <c r="R131" i="1"/>
  <c r="W128" i="1"/>
  <c r="T129" i="1"/>
  <c r="S129" i="1"/>
  <c r="S128" i="1" s="1"/>
  <c r="Q129" i="1"/>
  <c r="P129" i="1"/>
  <c r="P128" i="1" s="1"/>
  <c r="U127" i="1"/>
  <c r="R127" i="1"/>
  <c r="O126" i="1"/>
  <c r="W126" i="1"/>
  <c r="W125" i="1" s="1"/>
  <c r="T126" i="1"/>
  <c r="S126" i="1"/>
  <c r="Q126" i="1"/>
  <c r="Q125" i="1" s="1"/>
  <c r="P126" i="1"/>
  <c r="Y146" i="1" l="1"/>
  <c r="Z146" i="1" s="1"/>
  <c r="O168" i="1"/>
  <c r="U126" i="1"/>
  <c r="U143" i="1"/>
  <c r="Q167" i="1"/>
  <c r="Q161" i="1" s="1"/>
  <c r="Q160" i="1" s="1"/>
  <c r="Q158" i="1" s="1"/>
  <c r="T167" i="1"/>
  <c r="T161" i="1" s="1"/>
  <c r="T160" i="1" s="1"/>
  <c r="T158" i="1" s="1"/>
  <c r="S167" i="1"/>
  <c r="S161" i="1" s="1"/>
  <c r="S160" i="1" s="1"/>
  <c r="S158" i="1" s="1"/>
  <c r="R126" i="1"/>
  <c r="W167" i="1"/>
  <c r="W161" i="1" s="1"/>
  <c r="W160" i="1" s="1"/>
  <c r="W158" i="1" s="1"/>
  <c r="O133" i="1"/>
  <c r="P167" i="1"/>
  <c r="P161" i="1" s="1"/>
  <c r="Y210" i="1"/>
  <c r="Z210" i="1" s="1"/>
  <c r="P125" i="1"/>
  <c r="O125" i="1" s="1"/>
  <c r="S125" i="1"/>
  <c r="S124" i="1" s="1"/>
  <c r="S123" i="1" s="1"/>
  <c r="P132" i="1"/>
  <c r="R153" i="1"/>
  <c r="U153" i="1"/>
  <c r="O269" i="1"/>
  <c r="O267" i="1" s="1"/>
  <c r="P267" i="1"/>
  <c r="P142" i="1"/>
  <c r="O174" i="1"/>
  <c r="O128" i="1"/>
  <c r="P152" i="1"/>
  <c r="R152" i="1" s="1"/>
  <c r="O162" i="1"/>
  <c r="W124" i="1"/>
  <c r="R129" i="1"/>
  <c r="U129" i="1"/>
  <c r="U133" i="1"/>
  <c r="S142" i="1"/>
  <c r="Y148" i="1"/>
  <c r="Z148" i="1" s="1"/>
  <c r="Y170" i="1"/>
  <c r="Z170" i="1" s="1"/>
  <c r="O171" i="1"/>
  <c r="O181" i="1"/>
  <c r="R162" i="1"/>
  <c r="U162" i="1"/>
  <c r="R163" i="1"/>
  <c r="U163" i="1"/>
  <c r="R174" i="1"/>
  <c r="U174" i="1"/>
  <c r="R175" i="1"/>
  <c r="U175" i="1"/>
  <c r="R133" i="1"/>
  <c r="R143" i="1"/>
  <c r="R168" i="1"/>
  <c r="U168" i="1"/>
  <c r="R171" i="1"/>
  <c r="U171" i="1"/>
  <c r="U119" i="1"/>
  <c r="R119" i="1"/>
  <c r="U118" i="1"/>
  <c r="R118" i="1"/>
  <c r="O117" i="1"/>
  <c r="W117" i="1"/>
  <c r="T117" i="1"/>
  <c r="S117" i="1"/>
  <c r="Q117" i="1"/>
  <c r="P117" i="1"/>
  <c r="U116" i="1"/>
  <c r="R116" i="1"/>
  <c r="U115" i="1"/>
  <c r="R115" i="1"/>
  <c r="O109" i="9"/>
  <c r="U114" i="1"/>
  <c r="R114" i="1"/>
  <c r="U113" i="1"/>
  <c r="R113" i="1"/>
  <c r="W112" i="1"/>
  <c r="T112" i="1"/>
  <c r="S112" i="1"/>
  <c r="Q112" i="1"/>
  <c r="P112" i="1"/>
  <c r="U108" i="1"/>
  <c r="R108" i="1"/>
  <c r="U107" i="1"/>
  <c r="R107" i="1"/>
  <c r="U106" i="1"/>
  <c r="R106" i="1"/>
  <c r="W103" i="1"/>
  <c r="T104" i="1"/>
  <c r="S104" i="1"/>
  <c r="S103" i="1" s="1"/>
  <c r="Q104" i="1"/>
  <c r="Q103" i="1" s="1"/>
  <c r="P104" i="1"/>
  <c r="U100" i="1"/>
  <c r="R100" i="1"/>
  <c r="W99" i="1"/>
  <c r="T99" i="1"/>
  <c r="S99" i="1"/>
  <c r="Q99" i="1"/>
  <c r="P99" i="1"/>
  <c r="U79" i="1"/>
  <c r="R79" i="1"/>
  <c r="P77" i="1"/>
  <c r="U76" i="1"/>
  <c r="R76" i="1"/>
  <c r="O75" i="1"/>
  <c r="W75" i="1"/>
  <c r="T75" i="1"/>
  <c r="S75" i="1"/>
  <c r="Q75" i="1"/>
  <c r="P75" i="1"/>
  <c r="U70" i="1"/>
  <c r="R70" i="1"/>
  <c r="O69" i="1"/>
  <c r="W69" i="1"/>
  <c r="W68" i="1" s="1"/>
  <c r="T69" i="1"/>
  <c r="T68" i="1" s="1"/>
  <c r="S69" i="1"/>
  <c r="S68" i="1" s="1"/>
  <c r="Q69" i="1"/>
  <c r="Q68" i="1" s="1"/>
  <c r="P69" i="1"/>
  <c r="P68" i="1" s="1"/>
  <c r="U61" i="1"/>
  <c r="R61" i="1"/>
  <c r="U59" i="1"/>
  <c r="R59" i="1"/>
  <c r="O53" i="9"/>
  <c r="U57" i="1"/>
  <c r="R57" i="1"/>
  <c r="U56" i="1"/>
  <c r="R56" i="1"/>
  <c r="W55" i="1"/>
  <c r="W54" i="1" s="1"/>
  <c r="W53" i="1" s="1"/>
  <c r="T55" i="1"/>
  <c r="T54" i="1" s="1"/>
  <c r="S55" i="1"/>
  <c r="Q55" i="1"/>
  <c r="Q54" i="1" s="1"/>
  <c r="P55" i="1"/>
  <c r="U50" i="1"/>
  <c r="R50" i="1"/>
  <c r="W49" i="1"/>
  <c r="W48" i="1" s="1"/>
  <c r="T49" i="1"/>
  <c r="S49" i="1"/>
  <c r="Q49" i="1"/>
  <c r="P49" i="1"/>
  <c r="X42" i="1"/>
  <c r="U42" i="1"/>
  <c r="W41" i="1"/>
  <c r="V41" i="1"/>
  <c r="V40" i="1" s="1"/>
  <c r="T41" i="1"/>
  <c r="S41" i="1"/>
  <c r="Q41" i="1"/>
  <c r="O41" i="1"/>
  <c r="X39" i="1"/>
  <c r="U39" i="1"/>
  <c r="X38" i="1"/>
  <c r="U38" i="1"/>
  <c r="X37" i="1"/>
  <c r="U37" i="1"/>
  <c r="X36" i="1"/>
  <c r="U36" i="1"/>
  <c r="X35" i="1"/>
  <c r="U35" i="1"/>
  <c r="X34" i="1"/>
  <c r="U34" i="1"/>
  <c r="X33" i="1"/>
  <c r="U33" i="1"/>
  <c r="X32" i="1"/>
  <c r="U32" i="1"/>
  <c r="X31" i="1"/>
  <c r="U31" i="1"/>
  <c r="O167" i="1" l="1"/>
  <c r="O161" i="1" s="1"/>
  <c r="O160" i="1" s="1"/>
  <c r="O158" i="1" s="1"/>
  <c r="U167" i="1"/>
  <c r="R75" i="1"/>
  <c r="U158" i="1"/>
  <c r="S54" i="1"/>
  <c r="S53" i="1" s="1"/>
  <c r="O99" i="1"/>
  <c r="U161" i="1"/>
  <c r="O112" i="1"/>
  <c r="O111" i="1" s="1"/>
  <c r="O110" i="1" s="1"/>
  <c r="O108" i="9"/>
  <c r="R167" i="1"/>
  <c r="O58" i="9"/>
  <c r="R125" i="1"/>
  <c r="O77" i="1"/>
  <c r="O74" i="1" s="1"/>
  <c r="O73" i="1" s="1"/>
  <c r="O72" i="1" s="1"/>
  <c r="P160" i="1"/>
  <c r="R161" i="1"/>
  <c r="P54" i="1"/>
  <c r="R54" i="1" s="1"/>
  <c r="O49" i="1"/>
  <c r="U75" i="1"/>
  <c r="U160" i="1"/>
  <c r="W111" i="1"/>
  <c r="R112" i="1"/>
  <c r="U112" i="1"/>
  <c r="Q111" i="1"/>
  <c r="T111" i="1"/>
  <c r="O132" i="1"/>
  <c r="O124" i="1" s="1"/>
  <c r="O123" i="1" s="1"/>
  <c r="P124" i="1"/>
  <c r="P123" i="1" s="1"/>
  <c r="U41" i="1"/>
  <c r="X41" i="1"/>
  <c r="O55" i="1"/>
  <c r="O54" i="1" s="1"/>
  <c r="U55" i="1"/>
  <c r="R78" i="1"/>
  <c r="U78" i="1"/>
  <c r="P103" i="1"/>
  <c r="R117" i="1"/>
  <c r="U117" i="1"/>
  <c r="P74" i="1"/>
  <c r="P73" i="1" s="1"/>
  <c r="P72" i="1" s="1"/>
  <c r="S77" i="1"/>
  <c r="S74" i="1" s="1"/>
  <c r="S73" i="1" s="1"/>
  <c r="S72" i="1" s="1"/>
  <c r="U99" i="1"/>
  <c r="O68" i="1"/>
  <c r="O67" i="1" s="1"/>
  <c r="O66" i="1" s="1"/>
  <c r="P67" i="1"/>
  <c r="P66" i="1" s="1"/>
  <c r="U68" i="1"/>
  <c r="S67" i="1"/>
  <c r="S66" i="1" s="1"/>
  <c r="S40" i="1"/>
  <c r="U49" i="1"/>
  <c r="U104" i="1"/>
  <c r="P111" i="1"/>
  <c r="S111" i="1"/>
  <c r="O180" i="1"/>
  <c r="R49" i="1"/>
  <c r="R69" i="1"/>
  <c r="U69" i="1"/>
  <c r="R99" i="1"/>
  <c r="R104" i="1"/>
  <c r="R55" i="1"/>
  <c r="R68" i="1"/>
  <c r="X30" i="1"/>
  <c r="U30" i="1"/>
  <c r="W29" i="1"/>
  <c r="V29" i="1"/>
  <c r="V28" i="1" s="1"/>
  <c r="V27" i="1" s="1"/>
  <c r="T29" i="1"/>
  <c r="S29" i="1"/>
  <c r="O29" i="1"/>
  <c r="U303" i="9"/>
  <c r="U302" i="2" s="1"/>
  <c r="W302" i="2" s="1"/>
  <c r="R303" i="9"/>
  <c r="S302" i="2" s="1"/>
  <c r="U301" i="9"/>
  <c r="U300" i="2" s="1"/>
  <c r="R301" i="9"/>
  <c r="S300" i="2" s="1"/>
  <c r="R299" i="9"/>
  <c r="S298" i="2" s="1"/>
  <c r="T295" i="9"/>
  <c r="T294" i="9" s="1"/>
  <c r="T293" i="9" s="1"/>
  <c r="Q293" i="9"/>
  <c r="O295" i="9"/>
  <c r="O294" i="9" s="1"/>
  <c r="U282" i="9"/>
  <c r="R282" i="9"/>
  <c r="S281" i="2" s="1"/>
  <c r="Q281" i="9"/>
  <c r="Z302" i="2" l="1"/>
  <c r="X302" i="2"/>
  <c r="O40" i="1"/>
  <c r="O28" i="1" s="1"/>
  <c r="O27" i="1" s="1"/>
  <c r="O25" i="1" s="1"/>
  <c r="O318" i="9"/>
  <c r="P327" i="2"/>
  <c r="R327" i="2" s="1"/>
  <c r="Y301" i="9"/>
  <c r="V301" i="9"/>
  <c r="V303" i="9"/>
  <c r="X301" i="9"/>
  <c r="W301" i="9"/>
  <c r="X303" i="9"/>
  <c r="W303" i="9"/>
  <c r="U54" i="1"/>
  <c r="U111" i="1"/>
  <c r="O103" i="1"/>
  <c r="O102" i="1" s="1"/>
  <c r="R111" i="1"/>
  <c r="V282" i="9"/>
  <c r="R103" i="1"/>
  <c r="P102" i="1"/>
  <c r="Y299" i="9"/>
  <c r="U298" i="2"/>
  <c r="W299" i="9"/>
  <c r="V299" i="9" s="1"/>
  <c r="O280" i="9"/>
  <c r="O279" i="9" s="1"/>
  <c r="O278" i="9" s="1"/>
  <c r="O276" i="9" s="1"/>
  <c r="O274" i="9" s="1"/>
  <c r="X299" i="9"/>
  <c r="P53" i="1"/>
  <c r="X282" i="9"/>
  <c r="P158" i="1"/>
  <c r="R158" i="1" s="1"/>
  <c r="R160" i="1"/>
  <c r="T280" i="9"/>
  <c r="Q280" i="9"/>
  <c r="U29" i="1"/>
  <c r="X29" i="1"/>
  <c r="O178" i="1"/>
  <c r="O156" i="1" s="1"/>
  <c r="T271" i="9"/>
  <c r="T270" i="9" s="1"/>
  <c r="U268" i="9"/>
  <c r="U267" i="2" s="1"/>
  <c r="R268" i="9"/>
  <c r="S267" i="2" s="1"/>
  <c r="U267" i="9"/>
  <c r="R267" i="9"/>
  <c r="S266" i="2" s="1"/>
  <c r="T266" i="9"/>
  <c r="T265" i="9" s="1"/>
  <c r="Q266" i="9"/>
  <c r="U260" i="9"/>
  <c r="V260" i="9" s="1"/>
  <c r="R260" i="9"/>
  <c r="O258" i="9"/>
  <c r="O257" i="9" s="1"/>
  <c r="U255" i="9"/>
  <c r="R255" i="9"/>
  <c r="T254" i="9"/>
  <c r="Q254" i="9"/>
  <c r="Q253" i="9" s="1"/>
  <c r="U242" i="9"/>
  <c r="R242" i="9"/>
  <c r="U239" i="9"/>
  <c r="R239" i="9"/>
  <c r="S240" i="2" s="1"/>
  <c r="U238" i="9"/>
  <c r="U227" i="9"/>
  <c r="U223" i="9"/>
  <c r="R223" i="9" s="1"/>
  <c r="S222" i="2" s="1"/>
  <c r="U220" i="9"/>
  <c r="R220" i="9" s="1"/>
  <c r="S219" i="2" s="1"/>
  <c r="U219" i="9"/>
  <c r="R219" i="9" s="1"/>
  <c r="S218" i="2" s="1"/>
  <c r="U218" i="9"/>
  <c r="Y218" i="9" s="1"/>
  <c r="R218" i="9"/>
  <c r="S217" i="2" s="1"/>
  <c r="U217" i="2" s="1"/>
  <c r="U217" i="9"/>
  <c r="U216" i="2" s="1"/>
  <c r="U216" i="9"/>
  <c r="Y216" i="9" s="1"/>
  <c r="R216" i="9"/>
  <c r="U215" i="9"/>
  <c r="R215" i="9"/>
  <c r="T214" i="9"/>
  <c r="T213" i="9" s="1"/>
  <c r="S214" i="9"/>
  <c r="S213" i="9" s="1"/>
  <c r="P214" i="9"/>
  <c r="P213" i="9" s="1"/>
  <c r="U208" i="9"/>
  <c r="R208" i="9"/>
  <c r="U206" i="9"/>
  <c r="R206" i="9"/>
  <c r="U205" i="9"/>
  <c r="T204" i="9"/>
  <c r="T203" i="9" s="1"/>
  <c r="P204" i="9"/>
  <c r="P203" i="9" s="1"/>
  <c r="O204" i="9"/>
  <c r="O200" i="9"/>
  <c r="T200" i="9"/>
  <c r="Q200" i="9"/>
  <c r="U195" i="9"/>
  <c r="O190" i="9"/>
  <c r="U183" i="9"/>
  <c r="R183" i="9"/>
  <c r="S182" i="2" s="1"/>
  <c r="U182" i="9"/>
  <c r="R182" i="9"/>
  <c r="S181" i="2" s="1"/>
  <c r="T176" i="9"/>
  <c r="U171" i="9"/>
  <c r="V171" i="9" s="1"/>
  <c r="R171" i="9"/>
  <c r="O169" i="9"/>
  <c r="T169" i="9"/>
  <c r="Q169" i="9"/>
  <c r="T165" i="9"/>
  <c r="Q165" i="9"/>
  <c r="U164" i="9"/>
  <c r="T162" i="9"/>
  <c r="T157" i="9"/>
  <c r="T156" i="9" s="1"/>
  <c r="U151" i="9"/>
  <c r="V151" i="9" s="1"/>
  <c r="R151" i="9"/>
  <c r="U149" i="9"/>
  <c r="V149" i="9" s="1"/>
  <c r="R149" i="9"/>
  <c r="T147" i="9"/>
  <c r="Q147" i="9"/>
  <c r="U143" i="9"/>
  <c r="V143" i="9" s="1"/>
  <c r="U142" i="9"/>
  <c r="U141" i="2" s="1"/>
  <c r="U140" i="9"/>
  <c r="U139" i="2" s="1"/>
  <c r="R140" i="9"/>
  <c r="S139" i="2" s="1"/>
  <c r="U129" i="9"/>
  <c r="V129" i="9" s="1"/>
  <c r="R129" i="9"/>
  <c r="O127" i="9"/>
  <c r="T127" i="9"/>
  <c r="Q127" i="9"/>
  <c r="Q126" i="9" s="1"/>
  <c r="U124" i="9"/>
  <c r="R124" i="9"/>
  <c r="S124" i="2" s="1"/>
  <c r="O122" i="9"/>
  <c r="Q122" i="9"/>
  <c r="O120" i="9"/>
  <c r="T120" i="9"/>
  <c r="Q120" i="9"/>
  <c r="U116" i="9"/>
  <c r="V116" i="9" s="1"/>
  <c r="R116" i="9"/>
  <c r="U114" i="9"/>
  <c r="V114" i="9" s="1"/>
  <c r="R114" i="9"/>
  <c r="O111" i="9"/>
  <c r="T111" i="9"/>
  <c r="Q111" i="9"/>
  <c r="T106" i="9"/>
  <c r="O106" i="9"/>
  <c r="O105" i="9" s="1"/>
  <c r="O104" i="9" s="1"/>
  <c r="U103" i="9"/>
  <c r="R103" i="9"/>
  <c r="T97" i="9"/>
  <c r="T96" i="9" s="1"/>
  <c r="U95" i="9"/>
  <c r="V95" i="9" s="1"/>
  <c r="R95" i="9"/>
  <c r="O93" i="9"/>
  <c r="T93" i="9"/>
  <c r="T92" i="9" s="1"/>
  <c r="Q93" i="9"/>
  <c r="R89" i="9"/>
  <c r="U74" i="9"/>
  <c r="V74" i="9" s="1"/>
  <c r="R74" i="9"/>
  <c r="O71" i="9"/>
  <c r="O69" i="9"/>
  <c r="U65" i="9"/>
  <c r="V65" i="9" s="1"/>
  <c r="R65" i="9"/>
  <c r="O63" i="9"/>
  <c r="T63" i="9"/>
  <c r="V59" i="9"/>
  <c r="R59" i="9"/>
  <c r="O57" i="9"/>
  <c r="O56" i="9" s="1"/>
  <c r="T49" i="9"/>
  <c r="U45" i="9"/>
  <c r="V45" i="9" s="1"/>
  <c r="R45" i="9"/>
  <c r="O43" i="9"/>
  <c r="O42" i="9" s="1"/>
  <c r="O41" i="9" s="1"/>
  <c r="O40" i="9" s="1"/>
  <c r="T43" i="9"/>
  <c r="T42" i="9" s="1"/>
  <c r="T41" i="9" s="1"/>
  <c r="T40" i="9" s="1"/>
  <c r="Q43" i="9"/>
  <c r="Q42" i="9" s="1"/>
  <c r="U37" i="9"/>
  <c r="T35" i="9"/>
  <c r="Q35" i="9"/>
  <c r="Q34" i="9" s="1"/>
  <c r="O35" i="9"/>
  <c r="O34" i="9" s="1"/>
  <c r="T33" i="9"/>
  <c r="T32" i="9"/>
  <c r="Q318" i="9" l="1"/>
  <c r="Q291" i="9" s="1"/>
  <c r="Q289" i="9" s="1"/>
  <c r="T264" i="9"/>
  <c r="T263" i="9" s="1"/>
  <c r="O165" i="9"/>
  <c r="O162" i="9"/>
  <c r="O130" i="9"/>
  <c r="W151" i="9"/>
  <c r="X59" i="9"/>
  <c r="W59" i="9" s="1"/>
  <c r="X116" i="9"/>
  <c r="W129" i="9"/>
  <c r="S215" i="2"/>
  <c r="U215" i="2" s="1"/>
  <c r="S214" i="2"/>
  <c r="X65" i="9"/>
  <c r="O97" i="9"/>
  <c r="O96" i="9" s="1"/>
  <c r="O271" i="9"/>
  <c r="O270" i="9" s="1"/>
  <c r="X45" i="9"/>
  <c r="W45" i="9" s="1"/>
  <c r="O203" i="9"/>
  <c r="O213" i="9"/>
  <c r="O212" i="9" s="1"/>
  <c r="X74" i="9"/>
  <c r="W114" i="9"/>
  <c r="W116" i="9"/>
  <c r="W143" i="9"/>
  <c r="X182" i="9"/>
  <c r="X260" i="9"/>
  <c r="W260" i="9" s="1"/>
  <c r="X267" i="9"/>
  <c r="X149" i="9"/>
  <c r="W149" i="9" s="1"/>
  <c r="V164" i="9"/>
  <c r="X183" i="9"/>
  <c r="X208" i="9"/>
  <c r="W65" i="9"/>
  <c r="W74" i="9"/>
  <c r="W95" i="9"/>
  <c r="X114" i="9"/>
  <c r="O119" i="9"/>
  <c r="T105" i="9"/>
  <c r="T104" i="9" s="1"/>
  <c r="T122" i="9"/>
  <c r="V182" i="9"/>
  <c r="T199" i="9"/>
  <c r="V183" i="9"/>
  <c r="O62" i="9"/>
  <c r="O61" i="9" s="1"/>
  <c r="O60" i="9" s="1"/>
  <c r="X151" i="9"/>
  <c r="O168" i="9"/>
  <c r="W236" i="2"/>
  <c r="Z236" i="2" s="1"/>
  <c r="O126" i="9"/>
  <c r="O147" i="9"/>
  <c r="O146" i="9" s="1"/>
  <c r="O145" i="9" s="1"/>
  <c r="O144" i="9" s="1"/>
  <c r="Q146" i="9"/>
  <c r="Q145" i="9" s="1"/>
  <c r="Q144" i="9" s="1"/>
  <c r="W171" i="9"/>
  <c r="O176" i="9"/>
  <c r="O265" i="9"/>
  <c r="V268" i="9"/>
  <c r="O49" i="9"/>
  <c r="O48" i="9" s="1"/>
  <c r="O47" i="9" s="1"/>
  <c r="O46" i="9" s="1"/>
  <c r="W103" i="9"/>
  <c r="V103" i="9" s="1"/>
  <c r="X103" i="9"/>
  <c r="Q199" i="9"/>
  <c r="X95" i="9"/>
  <c r="X129" i="9"/>
  <c r="X143" i="9"/>
  <c r="O157" i="9"/>
  <c r="X171" i="9"/>
  <c r="U163" i="2"/>
  <c r="Y164" i="9"/>
  <c r="O199" i="9"/>
  <c r="X206" i="9"/>
  <c r="W206" i="9" s="1"/>
  <c r="Y140" i="9"/>
  <c r="V206" i="9"/>
  <c r="T253" i="9"/>
  <c r="V255" i="9"/>
  <c r="T146" i="9"/>
  <c r="T318" i="9"/>
  <c r="T279" i="9"/>
  <c r="V239" i="9"/>
  <c r="U240" i="2"/>
  <c r="W240" i="2" s="1"/>
  <c r="Z240" i="2" s="1"/>
  <c r="O92" i="9"/>
  <c r="O91" i="9" s="1"/>
  <c r="O90" i="9" s="1"/>
  <c r="Y215" i="9"/>
  <c r="U214" i="2"/>
  <c r="R238" i="9"/>
  <c r="S239" i="2" s="1"/>
  <c r="U239" i="2"/>
  <c r="W239" i="2" s="1"/>
  <c r="Q279" i="9"/>
  <c r="X227" i="9"/>
  <c r="Q41" i="9"/>
  <c r="Y268" i="9"/>
  <c r="X268" i="9"/>
  <c r="W268" i="9" s="1"/>
  <c r="W267" i="2"/>
  <c r="Z267" i="2" s="1"/>
  <c r="Y267" i="2" s="1"/>
  <c r="V267" i="9"/>
  <c r="U266" i="2"/>
  <c r="Y267" i="9"/>
  <c r="W267" i="9"/>
  <c r="W255" i="2"/>
  <c r="W256" i="2"/>
  <c r="W257" i="2"/>
  <c r="Z257" i="2" s="1"/>
  <c r="W258" i="2"/>
  <c r="Y255" i="9"/>
  <c r="X255" i="9"/>
  <c r="U181" i="2"/>
  <c r="Y182" i="9"/>
  <c r="U182" i="2"/>
  <c r="Y183" i="9"/>
  <c r="W182" i="9"/>
  <c r="V140" i="9"/>
  <c r="X140" i="9"/>
  <c r="U124" i="2"/>
  <c r="Y124" i="9"/>
  <c r="X124" i="9"/>
  <c r="W124" i="9" s="1"/>
  <c r="V124" i="9"/>
  <c r="O231" i="9"/>
  <c r="P212" i="9"/>
  <c r="P211" i="9" s="1"/>
  <c r="O68" i="9"/>
  <c r="Y142" i="9"/>
  <c r="R142" i="9"/>
  <c r="S141" i="2" s="1"/>
  <c r="T126" i="9"/>
  <c r="W208" i="9"/>
  <c r="W216" i="9"/>
  <c r="X218" i="9"/>
  <c r="W218" i="9" s="1"/>
  <c r="V208" i="9"/>
  <c r="V216" i="9"/>
  <c r="X216" i="9"/>
  <c r="V218" i="9"/>
  <c r="X239" i="9"/>
  <c r="W239" i="9" s="1"/>
  <c r="V242" i="9"/>
  <c r="X242" i="9"/>
  <c r="V227" i="9"/>
  <c r="X215" i="9"/>
  <c r="V215" i="9"/>
  <c r="Q168" i="9"/>
  <c r="S212" i="9"/>
  <c r="S211" i="9" s="1"/>
  <c r="U194" i="2"/>
  <c r="R195" i="9"/>
  <c r="U204" i="2"/>
  <c r="Q106" i="9"/>
  <c r="Q119" i="9"/>
  <c r="T34" i="9"/>
  <c r="Q92" i="9"/>
  <c r="Q271" i="9"/>
  <c r="Q265" i="9"/>
  <c r="Y217" i="9"/>
  <c r="Q176" i="9"/>
  <c r="Q156" i="9"/>
  <c r="Q97" i="9"/>
  <c r="Y223" i="9"/>
  <c r="U222" i="2"/>
  <c r="U221" i="2" s="1"/>
  <c r="Y219" i="9"/>
  <c r="U218" i="2"/>
  <c r="Y238" i="9"/>
  <c r="V238" i="9"/>
  <c r="V142" i="9"/>
  <c r="T48" i="9"/>
  <c r="Y220" i="9"/>
  <c r="U219" i="2"/>
  <c r="U213" i="9"/>
  <c r="U214" i="9"/>
  <c r="V214" i="9" s="1"/>
  <c r="U203" i="9"/>
  <c r="U202" i="2" s="1"/>
  <c r="U204" i="9"/>
  <c r="Y204" i="9" s="1"/>
  <c r="X219" i="9"/>
  <c r="V223" i="9"/>
  <c r="T91" i="9"/>
  <c r="Y205" i="9"/>
  <c r="Y222" i="9"/>
  <c r="T168" i="9"/>
  <c r="X220" i="9"/>
  <c r="U221" i="9"/>
  <c r="Y221" i="9" s="1"/>
  <c r="Y195" i="9"/>
  <c r="T119" i="9"/>
  <c r="V205" i="9"/>
  <c r="X223" i="9"/>
  <c r="V220" i="9"/>
  <c r="T212" i="9"/>
  <c r="V219" i="9"/>
  <c r="T190" i="9"/>
  <c r="V195" i="9"/>
  <c r="T161" i="9"/>
  <c r="T62" i="9"/>
  <c r="T31" i="9"/>
  <c r="T30" i="9"/>
  <c r="T29" i="9"/>
  <c r="T27" i="9"/>
  <c r="T26" i="9"/>
  <c r="T24" i="9"/>
  <c r="O23" i="9"/>
  <c r="Z324" i="2"/>
  <c r="W322" i="2"/>
  <c r="Z322" i="2" s="1"/>
  <c r="R322" i="2"/>
  <c r="W321" i="2"/>
  <c r="R321" i="2"/>
  <c r="R316" i="2"/>
  <c r="W300" i="2"/>
  <c r="Y300" i="2" s="1"/>
  <c r="R300" i="2"/>
  <c r="R299" i="2"/>
  <c r="W298" i="2"/>
  <c r="Y298" i="2" s="1"/>
  <c r="R298" i="2"/>
  <c r="R297" i="2"/>
  <c r="W285" i="2"/>
  <c r="Y285" i="2" s="1"/>
  <c r="R285" i="2"/>
  <c r="W281" i="2"/>
  <c r="Q273" i="2"/>
  <c r="O273" i="2"/>
  <c r="R271" i="2"/>
  <c r="R266" i="2"/>
  <c r="R258" i="2"/>
  <c r="W253" i="2"/>
  <c r="W252" i="2"/>
  <c r="R248" i="2"/>
  <c r="R239" i="2"/>
  <c r="W238" i="2"/>
  <c r="P234" i="2"/>
  <c r="P232" i="2"/>
  <c r="T23" i="9" l="1"/>
  <c r="T22" i="9" s="1"/>
  <c r="W266" i="2"/>
  <c r="X266" i="2" s="1"/>
  <c r="R232" i="2"/>
  <c r="W244" i="2"/>
  <c r="T230" i="9"/>
  <c r="T229" i="9" s="1"/>
  <c r="O264" i="9"/>
  <c r="O263" i="9" s="1"/>
  <c r="O261" i="9" s="1"/>
  <c r="O161" i="9"/>
  <c r="Z255" i="2"/>
  <c r="O156" i="9"/>
  <c r="O88" i="9"/>
  <c r="Y213" i="9"/>
  <c r="Q221" i="9"/>
  <c r="S194" i="2"/>
  <c r="X239" i="2"/>
  <c r="R281" i="2"/>
  <c r="Z281" i="2" s="1"/>
  <c r="O253" i="9"/>
  <c r="O175" i="9"/>
  <c r="O174" i="9" s="1"/>
  <c r="O172" i="9" s="1"/>
  <c r="O118" i="9"/>
  <c r="O117" i="9" s="1"/>
  <c r="O115" i="9" s="1"/>
  <c r="AA300" i="2"/>
  <c r="Z300" i="2" s="1"/>
  <c r="Y203" i="9"/>
  <c r="V213" i="9"/>
  <c r="X142" i="9"/>
  <c r="X195" i="9"/>
  <c r="S230" i="2"/>
  <c r="U203" i="2"/>
  <c r="W203" i="2" s="1"/>
  <c r="X238" i="9"/>
  <c r="W238" i="9" s="1"/>
  <c r="O293" i="9"/>
  <c r="O291" i="9" s="1"/>
  <c r="T175" i="9"/>
  <c r="Y214" i="9"/>
  <c r="Z321" i="2"/>
  <c r="T145" i="9"/>
  <c r="T291" i="9"/>
  <c r="T278" i="9"/>
  <c r="U213" i="2"/>
  <c r="U212" i="2" s="1"/>
  <c r="W212" i="2" s="1"/>
  <c r="U220" i="2"/>
  <c r="W220" i="2" s="1"/>
  <c r="Q278" i="9"/>
  <c r="Q40" i="9"/>
  <c r="AA258" i="2"/>
  <c r="Z258" i="2" s="1"/>
  <c r="O211" i="9"/>
  <c r="Q190" i="9"/>
  <c r="O67" i="9"/>
  <c r="Q105" i="9"/>
  <c r="Q104" i="9" s="1"/>
  <c r="AA285" i="2"/>
  <c r="Z285" i="2" s="1"/>
  <c r="V204" i="9"/>
  <c r="Q118" i="9"/>
  <c r="R205" i="9"/>
  <c r="Q204" i="9"/>
  <c r="Q91" i="9"/>
  <c r="Q270" i="9"/>
  <c r="R217" i="9"/>
  <c r="Q214" i="9"/>
  <c r="Q63" i="9"/>
  <c r="Q49" i="9"/>
  <c r="Q96" i="9"/>
  <c r="AA239" i="2"/>
  <c r="Z239" i="2" s="1"/>
  <c r="T47" i="9"/>
  <c r="V221" i="9"/>
  <c r="X222" i="9"/>
  <c r="V222" i="9"/>
  <c r="R234" i="2"/>
  <c r="R238" i="2"/>
  <c r="R268" i="2"/>
  <c r="T90" i="9"/>
  <c r="T118" i="9"/>
  <c r="Z238" i="2"/>
  <c r="T211" i="9"/>
  <c r="U211" i="9" s="1"/>
  <c r="U212" i="9"/>
  <c r="T155" i="9"/>
  <c r="T61" i="9"/>
  <c r="R240" i="2"/>
  <c r="X240" i="2" s="1"/>
  <c r="R253" i="2"/>
  <c r="AA253" i="2" s="1"/>
  <c r="AA298" i="2"/>
  <c r="Z298" i="2" s="1"/>
  <c r="X298" i="2"/>
  <c r="X258" i="2"/>
  <c r="X285" i="2"/>
  <c r="X300" i="2"/>
  <c r="X321" i="2"/>
  <c r="R236" i="2"/>
  <c r="R242" i="2"/>
  <c r="R257" i="2"/>
  <c r="R269" i="2"/>
  <c r="X322" i="2"/>
  <c r="Z223" i="2"/>
  <c r="Y223" i="2" s="1"/>
  <c r="W222" i="2"/>
  <c r="P222" i="2"/>
  <c r="W219" i="2"/>
  <c r="P219" i="2"/>
  <c r="R219" i="2" s="1"/>
  <c r="W218" i="2"/>
  <c r="Z218" i="2" s="1"/>
  <c r="P218" i="2"/>
  <c r="R218" i="2" s="1"/>
  <c r="W217" i="2"/>
  <c r="Y217" i="2" s="1"/>
  <c r="P217" i="2"/>
  <c r="R217" i="2" s="1"/>
  <c r="W216" i="2"/>
  <c r="P216" i="2"/>
  <c r="R216" i="2" s="1"/>
  <c r="W215" i="2"/>
  <c r="Y215" i="2" s="1"/>
  <c r="P215" i="2"/>
  <c r="R215" i="2" s="1"/>
  <c r="W214" i="2"/>
  <c r="Z214" i="2" s="1"/>
  <c r="Y214" i="2" s="1"/>
  <c r="P214" i="2"/>
  <c r="R214" i="2" s="1"/>
  <c r="Q208" i="2"/>
  <c r="Q206" i="2" s="1"/>
  <c r="O208" i="2"/>
  <c r="O206" i="2" s="1"/>
  <c r="W204" i="2"/>
  <c r="P204" i="2"/>
  <c r="R204" i="2" s="1"/>
  <c r="W202" i="2"/>
  <c r="P200" i="2"/>
  <c r="R200" i="2" s="1"/>
  <c r="W194" i="2"/>
  <c r="P193" i="2"/>
  <c r="P186" i="2"/>
  <c r="P184" i="2"/>
  <c r="W182" i="2"/>
  <c r="Z182" i="2" s="1"/>
  <c r="Y182" i="2" s="1"/>
  <c r="P182" i="2"/>
  <c r="W181" i="2"/>
  <c r="Y181" i="2" s="1"/>
  <c r="P180" i="2"/>
  <c r="P178" i="2"/>
  <c r="P169" i="2"/>
  <c r="R169" i="2" s="1"/>
  <c r="P165" i="2"/>
  <c r="R165" i="2" s="1"/>
  <c r="W163" i="2"/>
  <c r="P162" i="2"/>
  <c r="R162" i="2" s="1"/>
  <c r="O230" i="9" l="1"/>
  <c r="O228" i="9" s="1"/>
  <c r="AA266" i="2"/>
  <c r="Z266" i="2" s="1"/>
  <c r="R221" i="9"/>
  <c r="S220" i="2" s="1"/>
  <c r="R222" i="2"/>
  <c r="AA222" i="2" s="1"/>
  <c r="Z222" i="2" s="1"/>
  <c r="P221" i="2"/>
  <c r="R221" i="2" s="1"/>
  <c r="R178" i="2"/>
  <c r="Q264" i="9"/>
  <c r="Q263" i="9" s="1"/>
  <c r="O155" i="9"/>
  <c r="O154" i="9" s="1"/>
  <c r="O152" i="9" s="1"/>
  <c r="O150" i="9" s="1"/>
  <c r="X281" i="2"/>
  <c r="R193" i="2"/>
  <c r="P203" i="2"/>
  <c r="R203" i="2" s="1"/>
  <c r="X203" i="2" s="1"/>
  <c r="AA240" i="2"/>
  <c r="X238" i="2"/>
  <c r="W221" i="2"/>
  <c r="Z221" i="2" s="1"/>
  <c r="W213" i="2"/>
  <c r="U211" i="2"/>
  <c r="U210" i="2" s="1"/>
  <c r="W210" i="2" s="1"/>
  <c r="T174" i="9"/>
  <c r="O66" i="9"/>
  <c r="O38" i="9" s="1"/>
  <c r="P168" i="2"/>
  <c r="O289" i="9"/>
  <c r="T144" i="9"/>
  <c r="T289" i="9"/>
  <c r="T276" i="9"/>
  <c r="Q276" i="9"/>
  <c r="R184" i="2"/>
  <c r="R180" i="2"/>
  <c r="R204" i="9"/>
  <c r="Q203" i="9"/>
  <c r="Q117" i="9"/>
  <c r="S204" i="2"/>
  <c r="Z204" i="2" s="1"/>
  <c r="X205" i="9"/>
  <c r="Q23" i="9"/>
  <c r="Q90" i="9"/>
  <c r="Z253" i="2"/>
  <c r="U230" i="2"/>
  <c r="W231" i="2"/>
  <c r="S216" i="2"/>
  <c r="S213" i="2" s="1"/>
  <c r="S212" i="2" s="1"/>
  <c r="V217" i="9"/>
  <c r="X217" i="9"/>
  <c r="R214" i="9"/>
  <c r="X214" i="9" s="1"/>
  <c r="Q213" i="9"/>
  <c r="Q62" i="9"/>
  <c r="Q48" i="9"/>
  <c r="T130" i="9"/>
  <c r="T46" i="9"/>
  <c r="AA216" i="2"/>
  <c r="X253" i="2"/>
  <c r="T88" i="9"/>
  <c r="T117" i="9"/>
  <c r="AA214" i="2"/>
  <c r="AA215" i="2"/>
  <c r="Z215" i="2" s="1"/>
  <c r="AA217" i="2"/>
  <c r="Z217" i="2" s="1"/>
  <c r="AA223" i="2"/>
  <c r="AA219" i="2"/>
  <c r="Z219" i="2" s="1"/>
  <c r="AA218" i="2"/>
  <c r="T261" i="9"/>
  <c r="Y212" i="9"/>
  <c r="V212" i="9"/>
  <c r="Y211" i="9"/>
  <c r="V211" i="9"/>
  <c r="T154" i="9"/>
  <c r="T152" i="9" s="1"/>
  <c r="T60" i="9"/>
  <c r="AA204" i="2"/>
  <c r="X204" i="2"/>
  <c r="AA257" i="2"/>
  <c r="X257" i="2"/>
  <c r="AA236" i="2"/>
  <c r="X236" i="2"/>
  <c r="X215" i="2"/>
  <c r="X217" i="2"/>
  <c r="X219" i="2"/>
  <c r="R182" i="2"/>
  <c r="R186" i="2"/>
  <c r="X214" i="2"/>
  <c r="X216" i="2"/>
  <c r="X218" i="2"/>
  <c r="X223" i="2"/>
  <c r="P159" i="2"/>
  <c r="P157" i="2"/>
  <c r="O229" i="9" l="1"/>
  <c r="O209" i="9" s="1"/>
  <c r="O207" i="9" s="1"/>
  <c r="X221" i="9"/>
  <c r="S211" i="2"/>
  <c r="S210" i="2" s="1"/>
  <c r="X222" i="2"/>
  <c r="R157" i="2"/>
  <c r="T115" i="9"/>
  <c r="T38" i="9"/>
  <c r="P202" i="2"/>
  <c r="R202" i="2" s="1"/>
  <c r="X202" i="2" s="1"/>
  <c r="AA203" i="2"/>
  <c r="AA221" i="2"/>
  <c r="X221" i="2"/>
  <c r="T172" i="9"/>
  <c r="W211" i="2"/>
  <c r="Q261" i="9"/>
  <c r="R168" i="2"/>
  <c r="P167" i="2"/>
  <c r="R167" i="2" s="1"/>
  <c r="T274" i="9"/>
  <c r="Q274" i="9"/>
  <c r="Q88" i="9"/>
  <c r="S203" i="2"/>
  <c r="Z203" i="2" s="1"/>
  <c r="X204" i="9"/>
  <c r="R203" i="9"/>
  <c r="Q175" i="9"/>
  <c r="W230" i="2"/>
  <c r="Z230" i="2" s="1"/>
  <c r="Q212" i="9"/>
  <c r="R213" i="9"/>
  <c r="X213" i="9" s="1"/>
  <c r="Z212" i="2"/>
  <c r="Z216" i="2"/>
  <c r="Y216" i="2" s="1"/>
  <c r="Q61" i="9"/>
  <c r="Q47" i="9"/>
  <c r="AA182" i="2"/>
  <c r="X182" i="2"/>
  <c r="R159" i="2"/>
  <c r="Z210" i="2" l="1"/>
  <c r="T150" i="9"/>
  <c r="AA202" i="2"/>
  <c r="Q130" i="9"/>
  <c r="Q174" i="9"/>
  <c r="S202" i="2"/>
  <c r="X203" i="9"/>
  <c r="V203" i="9" s="1"/>
  <c r="Q211" i="9"/>
  <c r="R212" i="9"/>
  <c r="X212" i="9" s="1"/>
  <c r="Q60" i="9"/>
  <c r="Q46" i="9"/>
  <c r="Q38" i="9" l="1"/>
  <c r="Q115" i="9"/>
  <c r="Z202" i="2"/>
  <c r="Q172" i="9"/>
  <c r="Z244" i="2"/>
  <c r="R211" i="9"/>
  <c r="X211" i="9" s="1"/>
  <c r="R148" i="2"/>
  <c r="P147" i="2"/>
  <c r="R147" i="2" s="1"/>
  <c r="W141" i="2"/>
  <c r="R140" i="2"/>
  <c r="W139" i="2"/>
  <c r="Y139" i="2" s="1"/>
  <c r="W138" i="2"/>
  <c r="Z138" i="2" s="1"/>
  <c r="R138" i="2"/>
  <c r="R127" i="2"/>
  <c r="W124" i="2"/>
  <c r="Z124" i="2" s="1"/>
  <c r="P120" i="2"/>
  <c r="R120" i="2" s="1"/>
  <c r="P112" i="2"/>
  <c r="P111" i="2"/>
  <c r="R111" i="2" s="1"/>
  <c r="P108" i="2"/>
  <c r="P107" i="2"/>
  <c r="R107" i="2" s="1"/>
  <c r="P106" i="2"/>
  <c r="R106" i="2" s="1"/>
  <c r="P100" i="2"/>
  <c r="P99" i="2"/>
  <c r="R94" i="2"/>
  <c r="P93" i="2"/>
  <c r="R93" i="2" s="1"/>
  <c r="R88" i="2"/>
  <c r="Q87" i="2"/>
  <c r="R73" i="2"/>
  <c r="P72" i="2"/>
  <c r="P69" i="2"/>
  <c r="R69" i="2" s="1"/>
  <c r="R64" i="2"/>
  <c r="P63" i="2"/>
  <c r="R63" i="2" s="1"/>
  <c r="P57" i="2"/>
  <c r="P56" i="2"/>
  <c r="P55" i="2"/>
  <c r="P53" i="2"/>
  <c r="P51" i="2"/>
  <c r="P49" i="2"/>
  <c r="R49" i="2" s="1"/>
  <c r="P43" i="2"/>
  <c r="R43" i="2" s="1"/>
  <c r="Q37" i="2"/>
  <c r="O37" i="2"/>
  <c r="W36" i="2"/>
  <c r="Y36" i="2" s="1"/>
  <c r="R36" i="2"/>
  <c r="O35" i="2"/>
  <c r="R35" i="2" s="1"/>
  <c r="O32" i="2"/>
  <c r="R32" i="2" s="1"/>
  <c r="O31" i="2"/>
  <c r="R31" i="2" s="1"/>
  <c r="O30" i="2"/>
  <c r="R30" i="2" s="1"/>
  <c r="O29" i="2"/>
  <c r="R29" i="2" s="1"/>
  <c r="O28" i="2"/>
  <c r="R28" i="2" s="1"/>
  <c r="O27" i="2"/>
  <c r="R27" i="2" s="1"/>
  <c r="O26" i="2"/>
  <c r="R26" i="2" s="1"/>
  <c r="O25" i="2"/>
  <c r="R25" i="2" s="1"/>
  <c r="O24" i="2"/>
  <c r="R24" i="2" s="1"/>
  <c r="O23" i="2"/>
  <c r="R23" i="2" s="1"/>
  <c r="V22" i="2"/>
  <c r="U22" i="2"/>
  <c r="Q16" i="2" l="1"/>
  <c r="Q14" i="2" s="1"/>
  <c r="R99" i="2"/>
  <c r="R72" i="2"/>
  <c r="P71" i="2"/>
  <c r="Z36" i="2"/>
  <c r="AA138" i="2"/>
  <c r="Y138" i="2"/>
  <c r="X36" i="2"/>
  <c r="P119" i="2"/>
  <c r="R119" i="2" s="1"/>
  <c r="P146" i="2"/>
  <c r="R146" i="2" s="1"/>
  <c r="P42" i="2"/>
  <c r="R42" i="2" s="1"/>
  <c r="P68" i="2"/>
  <c r="R68" i="2" s="1"/>
  <c r="P92" i="2"/>
  <c r="R92" i="2" s="1"/>
  <c r="Y124" i="2"/>
  <c r="Z139" i="2"/>
  <c r="Z141" i="2"/>
  <c r="P110" i="2"/>
  <c r="R110" i="2" s="1"/>
  <c r="R51" i="2"/>
  <c r="R55" i="2"/>
  <c r="R56" i="2"/>
  <c r="R57" i="2"/>
  <c r="R53" i="2"/>
  <c r="P62" i="2"/>
  <c r="R100" i="2"/>
  <c r="R108" i="2"/>
  <c r="R112" i="2"/>
  <c r="P126" i="2"/>
  <c r="X138" i="2"/>
  <c r="P91" i="2" l="1"/>
  <c r="R91" i="2" s="1"/>
  <c r="P145" i="2"/>
  <c r="R145" i="2" s="1"/>
  <c r="P41" i="2"/>
  <c r="P40" i="2" s="1"/>
  <c r="P67" i="2"/>
  <c r="R67" i="2" s="1"/>
  <c r="P118" i="2"/>
  <c r="R118" i="2" s="1"/>
  <c r="P125" i="2"/>
  <c r="R125" i="2" s="1"/>
  <c r="R126" i="2"/>
  <c r="R62" i="2"/>
  <c r="P61" i="2"/>
  <c r="P144" i="2" l="1"/>
  <c r="R144" i="2" s="1"/>
  <c r="P90" i="2"/>
  <c r="P89" i="2" s="1"/>
  <c r="R41" i="2"/>
  <c r="R40" i="2"/>
  <c r="P39" i="2"/>
  <c r="R61" i="2"/>
  <c r="P60" i="2"/>
  <c r="P143" i="2" l="1"/>
  <c r="R143" i="2" s="1"/>
  <c r="R90" i="2"/>
  <c r="R89" i="2"/>
  <c r="P59" i="2"/>
  <c r="R59" i="2" s="1"/>
  <c r="R60" i="2"/>
  <c r="R39" i="2"/>
  <c r="O22" i="2" l="1"/>
  <c r="R22" i="2" s="1"/>
  <c r="O34" i="2"/>
  <c r="O33" i="2" s="1"/>
  <c r="P50" i="2"/>
  <c r="P52" i="2"/>
  <c r="R52" i="2" s="1"/>
  <c r="P54" i="2"/>
  <c r="R54" i="2" s="1"/>
  <c r="P70" i="2"/>
  <c r="P101" i="2"/>
  <c r="P97" i="2" s="1"/>
  <c r="P109" i="2"/>
  <c r="P105" i="2" s="1"/>
  <c r="R139" i="2"/>
  <c r="X139" i="2" s="1"/>
  <c r="R141" i="2"/>
  <c r="AA141" i="2" s="1"/>
  <c r="P158" i="2"/>
  <c r="P163" i="2"/>
  <c r="P161" i="2" s="1"/>
  <c r="P166" i="2"/>
  <c r="P164" i="2" s="1"/>
  <c r="R164" i="2" s="1"/>
  <c r="P179" i="2"/>
  <c r="P181" i="2"/>
  <c r="R181" i="2" s="1"/>
  <c r="X181" i="2" s="1"/>
  <c r="P183" i="2"/>
  <c r="R183" i="2" s="1"/>
  <c r="P185" i="2"/>
  <c r="R185" i="2" s="1"/>
  <c r="P191" i="2"/>
  <c r="P194" i="2"/>
  <c r="R194" i="2" s="1"/>
  <c r="P201" i="2"/>
  <c r="P199" i="2" s="1"/>
  <c r="P213" i="2"/>
  <c r="P220" i="2"/>
  <c r="R220" i="2" s="1"/>
  <c r="AA220" i="2" s="1"/>
  <c r="P233" i="2"/>
  <c r="P235" i="2"/>
  <c r="R235" i="2" s="1"/>
  <c r="R237" i="2"/>
  <c r="R243" i="2"/>
  <c r="R252" i="2"/>
  <c r="AA252" i="2" s="1"/>
  <c r="R255" i="2"/>
  <c r="R267" i="2"/>
  <c r="X267" i="2" s="1"/>
  <c r="R294" i="2"/>
  <c r="P319" i="2"/>
  <c r="P318" i="2" s="1"/>
  <c r="V21" i="2"/>
  <c r="V20" i="2" s="1"/>
  <c r="U21" i="2"/>
  <c r="U20" i="2" s="1"/>
  <c r="Z211" i="2"/>
  <c r="Z181" i="2"/>
  <c r="Z194" i="2"/>
  <c r="Z213" i="2"/>
  <c r="Z220" i="2"/>
  <c r="Z252" i="2"/>
  <c r="Z231" i="2"/>
  <c r="T21" i="9"/>
  <c r="Z256" i="2"/>
  <c r="P231" i="2" l="1"/>
  <c r="P230" i="2" s="1"/>
  <c r="P229" i="2" s="1"/>
  <c r="P176" i="2"/>
  <c r="R176" i="2" s="1"/>
  <c r="P160" i="2"/>
  <c r="R160" i="2" s="1"/>
  <c r="R319" i="2"/>
  <c r="R233" i="2"/>
  <c r="R191" i="2"/>
  <c r="P190" i="2"/>
  <c r="R179" i="2"/>
  <c r="R158" i="2"/>
  <c r="P156" i="2"/>
  <c r="R166" i="2"/>
  <c r="X141" i="2"/>
  <c r="R283" i="2"/>
  <c r="R280" i="2"/>
  <c r="R109" i="2"/>
  <c r="R286" i="2"/>
  <c r="X220" i="2"/>
  <c r="P264" i="2"/>
  <c r="P263" i="2" s="1"/>
  <c r="X252" i="2"/>
  <c r="R245" i="2"/>
  <c r="X194" i="2"/>
  <c r="AA194" i="2"/>
  <c r="R256" i="2"/>
  <c r="X256" i="2" s="1"/>
  <c r="AA181" i="2"/>
  <c r="R124" i="2"/>
  <c r="AA124" i="2" s="1"/>
  <c r="R71" i="2"/>
  <c r="R270" i="2"/>
  <c r="R163" i="2"/>
  <c r="R254" i="2"/>
  <c r="R201" i="2"/>
  <c r="AA139" i="2"/>
  <c r="P48" i="2"/>
  <c r="R48" i="2" s="1"/>
  <c r="X255" i="2"/>
  <c r="AA255" i="2"/>
  <c r="P66" i="2"/>
  <c r="R66" i="2" s="1"/>
  <c r="R70" i="2"/>
  <c r="O21" i="2"/>
  <c r="O20" i="2" s="1"/>
  <c r="O18" i="2" s="1"/>
  <c r="P212" i="2"/>
  <c r="R213" i="2"/>
  <c r="P198" i="2"/>
  <c r="R198" i="2" s="1"/>
  <c r="R199" i="2"/>
  <c r="R105" i="2"/>
  <c r="P104" i="2"/>
  <c r="R324" i="2"/>
  <c r="R137" i="2"/>
  <c r="P121" i="2"/>
  <c r="R122" i="2"/>
  <c r="R97" i="2"/>
  <c r="P96" i="2"/>
  <c r="R320" i="2"/>
  <c r="AA267" i="2"/>
  <c r="R161" i="2"/>
  <c r="R33" i="2"/>
  <c r="R101" i="2"/>
  <c r="R50" i="2"/>
  <c r="R34" i="2"/>
  <c r="T19" i="9"/>
  <c r="T17" i="9" s="1"/>
  <c r="O16" i="2" l="1"/>
  <c r="O14" i="2" s="1"/>
  <c r="R265" i="2"/>
  <c r="P279" i="2"/>
  <c r="R279" i="2" s="1"/>
  <c r="R244" i="2"/>
  <c r="AA244" i="2" s="1"/>
  <c r="AA256" i="2"/>
  <c r="R231" i="2"/>
  <c r="AA231" i="2" s="1"/>
  <c r="R21" i="2"/>
  <c r="X124" i="2"/>
  <c r="P65" i="2"/>
  <c r="R65" i="2" s="1"/>
  <c r="R20" i="2"/>
  <c r="P47" i="2"/>
  <c r="P46" i="2" s="1"/>
  <c r="X163" i="2"/>
  <c r="AA163" i="2"/>
  <c r="P189" i="2"/>
  <c r="R189" i="2" s="1"/>
  <c r="R190" i="2"/>
  <c r="P155" i="2"/>
  <c r="R156" i="2"/>
  <c r="P292" i="2"/>
  <c r="R293" i="2"/>
  <c r="P175" i="2"/>
  <c r="R121" i="2"/>
  <c r="P117" i="2"/>
  <c r="P135" i="2"/>
  <c r="P130" i="2" s="1"/>
  <c r="R136" i="2"/>
  <c r="R264" i="2"/>
  <c r="R323" i="2"/>
  <c r="R318" i="2"/>
  <c r="P211" i="2"/>
  <c r="R212" i="2"/>
  <c r="R230" i="2"/>
  <c r="P95" i="2"/>
  <c r="R96" i="2"/>
  <c r="AA324" i="2"/>
  <c r="X324" i="2"/>
  <c r="R18" i="2"/>
  <c r="P103" i="2"/>
  <c r="R103" i="2" s="1"/>
  <c r="R104" i="2"/>
  <c r="AA213" i="2"/>
  <c r="X213" i="2"/>
  <c r="P174" i="2" l="1"/>
  <c r="R155" i="2"/>
  <c r="P154" i="2"/>
  <c r="R154" i="2" s="1"/>
  <c r="P278" i="2"/>
  <c r="P277" i="2" s="1"/>
  <c r="R277" i="2" s="1"/>
  <c r="X244" i="2"/>
  <c r="X231" i="2"/>
  <c r="R47" i="2"/>
  <c r="P45" i="2"/>
  <c r="P37" i="2" s="1"/>
  <c r="R46" i="2"/>
  <c r="AA230" i="2"/>
  <c r="X230" i="2"/>
  <c r="AA212" i="2"/>
  <c r="X212" i="2"/>
  <c r="P317" i="2"/>
  <c r="R317" i="2" s="1"/>
  <c r="P262" i="2"/>
  <c r="R263" i="2"/>
  <c r="P116" i="2"/>
  <c r="R117" i="2"/>
  <c r="R95" i="2"/>
  <c r="P87" i="2"/>
  <c r="R211" i="2"/>
  <c r="P210" i="2"/>
  <c r="R135" i="2"/>
  <c r="R175" i="2"/>
  <c r="R292" i="2"/>
  <c r="P153" i="2" l="1"/>
  <c r="P151" i="2" s="1"/>
  <c r="R278" i="2"/>
  <c r="R45" i="2"/>
  <c r="R130" i="2"/>
  <c r="P129" i="2"/>
  <c r="R129" i="2" s="1"/>
  <c r="AA211" i="2"/>
  <c r="X211" i="2"/>
  <c r="R87" i="2"/>
  <c r="R116" i="2"/>
  <c r="P260" i="2"/>
  <c r="R260" i="2" s="1"/>
  <c r="R262" i="2"/>
  <c r="P275" i="2"/>
  <c r="R229" i="2"/>
  <c r="P228" i="2"/>
  <c r="R228" i="2" s="1"/>
  <c r="P173" i="2"/>
  <c r="R174" i="2"/>
  <c r="R210" i="2"/>
  <c r="P290" i="2"/>
  <c r="R290" i="2" s="1"/>
  <c r="Q40" i="1"/>
  <c r="Q48" i="1"/>
  <c r="Q47" i="1" s="1"/>
  <c r="Q46" i="1" s="1"/>
  <c r="Q53" i="1"/>
  <c r="Q52" i="1" s="1"/>
  <c r="Q67" i="1"/>
  <c r="Q66" i="1" s="1"/>
  <c r="R66" i="1" s="1"/>
  <c r="Q77" i="1"/>
  <c r="Q74" i="1" s="1"/>
  <c r="Q98" i="1"/>
  <c r="Q97" i="1" s="1"/>
  <c r="Q102" i="1"/>
  <c r="R102" i="1" s="1"/>
  <c r="Q110" i="1"/>
  <c r="Q128" i="1"/>
  <c r="R128" i="1" s="1"/>
  <c r="Q132" i="1"/>
  <c r="R132" i="1" s="1"/>
  <c r="Q142" i="1"/>
  <c r="Q137" i="1" s="1"/>
  <c r="Q151" i="1"/>
  <c r="Q150" i="1" s="1"/>
  <c r="Q209" i="1"/>
  <c r="Q196" i="1" s="1"/>
  <c r="Q219" i="1"/>
  <c r="R219" i="1" s="1"/>
  <c r="Q227" i="1"/>
  <c r="Q237" i="1"/>
  <c r="Q259" i="1"/>
  <c r="R259" i="1" s="1"/>
  <c r="Q271" i="1"/>
  <c r="R271" i="1" s="1"/>
  <c r="R276" i="1"/>
  <c r="Q285" i="1"/>
  <c r="Q284" i="1" s="1"/>
  <c r="Q282" i="1" s="1"/>
  <c r="Q280" i="1" s="1"/>
  <c r="Q301" i="1"/>
  <c r="Q300" i="1" s="1"/>
  <c r="Q326" i="1"/>
  <c r="P196" i="1"/>
  <c r="P181" i="1" s="1"/>
  <c r="P180" i="1" s="1"/>
  <c r="S196" i="1"/>
  <c r="S181" i="1" s="1"/>
  <c r="T209" i="1"/>
  <c r="T196" i="1" s="1"/>
  <c r="W209" i="1"/>
  <c r="W196" i="1" s="1"/>
  <c r="T103" i="1"/>
  <c r="U103" i="1" s="1"/>
  <c r="S28" i="1"/>
  <c r="T40" i="1"/>
  <c r="T28" i="1" s="1"/>
  <c r="T27" i="1" s="1"/>
  <c r="T25" i="1" s="1"/>
  <c r="V25" i="1"/>
  <c r="W40" i="1"/>
  <c r="W28" i="1" s="1"/>
  <c r="W27" i="1" s="1"/>
  <c r="O48" i="1"/>
  <c r="O47" i="1" s="1"/>
  <c r="O63" i="1"/>
  <c r="O98" i="1"/>
  <c r="O97" i="1" s="1"/>
  <c r="O136" i="1"/>
  <c r="O121" i="1" s="1"/>
  <c r="P48" i="1"/>
  <c r="P47" i="1" s="1"/>
  <c r="P52" i="1"/>
  <c r="P98" i="1"/>
  <c r="P97" i="1" s="1"/>
  <c r="P96" i="1" s="1"/>
  <c r="P81" i="1" s="1"/>
  <c r="P110" i="1"/>
  <c r="P137" i="1"/>
  <c r="P136" i="1" s="1"/>
  <c r="P151" i="1"/>
  <c r="P150" i="1" s="1"/>
  <c r="S48" i="1"/>
  <c r="S47" i="1" s="1"/>
  <c r="S52" i="1"/>
  <c r="S98" i="1"/>
  <c r="S97" i="1" s="1"/>
  <c r="S102" i="1"/>
  <c r="S110" i="1"/>
  <c r="S137" i="1"/>
  <c r="S136" i="1" s="1"/>
  <c r="S152" i="1"/>
  <c r="S151" i="1" s="1"/>
  <c r="T48" i="1"/>
  <c r="T47" i="1" s="1"/>
  <c r="T46" i="1" s="1"/>
  <c r="T53" i="1"/>
  <c r="T52" i="1" s="1"/>
  <c r="T67" i="1"/>
  <c r="T66" i="1" s="1"/>
  <c r="U66" i="1" s="1"/>
  <c r="T77" i="1"/>
  <c r="T74" i="1" s="1"/>
  <c r="T98" i="1"/>
  <c r="T97" i="1" s="1"/>
  <c r="T96" i="1" s="1"/>
  <c r="T110" i="1"/>
  <c r="T125" i="1"/>
  <c r="U125" i="1" s="1"/>
  <c r="T128" i="1"/>
  <c r="U128" i="1" s="1"/>
  <c r="T132" i="1"/>
  <c r="U132" i="1" s="1"/>
  <c r="T142" i="1"/>
  <c r="T137" i="1" s="1"/>
  <c r="T152" i="1"/>
  <c r="T151" i="1" s="1"/>
  <c r="T150" i="1" s="1"/>
  <c r="W47" i="1"/>
  <c r="W46" i="1" s="1"/>
  <c r="W52" i="1"/>
  <c r="W67" i="1"/>
  <c r="W66" i="1" s="1"/>
  <c r="W77" i="1"/>
  <c r="W74" i="1" s="1"/>
  <c r="W98" i="1"/>
  <c r="W97" i="1" s="1"/>
  <c r="W96" i="1" s="1"/>
  <c r="W102" i="1"/>
  <c r="W110" i="1"/>
  <c r="W123" i="1"/>
  <c r="W152" i="1"/>
  <c r="W151" i="1" s="1"/>
  <c r="W150" i="1" s="1"/>
  <c r="P227" i="1"/>
  <c r="P218" i="1" s="1"/>
  <c r="P285" i="1"/>
  <c r="P284" i="1" s="1"/>
  <c r="P282" i="1" s="1"/>
  <c r="P280" i="1" s="1"/>
  <c r="P299" i="1"/>
  <c r="V218" i="1"/>
  <c r="V217" i="1" s="1"/>
  <c r="S227" i="1"/>
  <c r="S218" i="1" s="1"/>
  <c r="S217" i="1" s="1"/>
  <c r="S285" i="1"/>
  <c r="S284" i="1" s="1"/>
  <c r="S282" i="1" s="1"/>
  <c r="S280" i="1" s="1"/>
  <c r="S301" i="1"/>
  <c r="S300" i="1" s="1"/>
  <c r="S326" i="1"/>
  <c r="T326" i="1"/>
  <c r="O217" i="1"/>
  <c r="T219" i="1"/>
  <c r="U219" i="1" s="1"/>
  <c r="T227" i="1"/>
  <c r="T237" i="1"/>
  <c r="T215" i="1" s="1"/>
  <c r="T259" i="1"/>
  <c r="T271" i="1"/>
  <c r="U271" i="1" s="1"/>
  <c r="U276" i="1"/>
  <c r="W219" i="1"/>
  <c r="W227" i="1"/>
  <c r="W259" i="1"/>
  <c r="W236" i="1" s="1"/>
  <c r="W271" i="1"/>
  <c r="Z211" i="1"/>
  <c r="O324" i="1"/>
  <c r="O297" i="1" s="1"/>
  <c r="P334" i="1"/>
  <c r="P325" i="1" s="1"/>
  <c r="P324" i="1" s="1"/>
  <c r="Q334" i="1"/>
  <c r="S334" i="1"/>
  <c r="T334" i="1"/>
  <c r="W334" i="1"/>
  <c r="W325" i="1" s="1"/>
  <c r="Z288" i="1"/>
  <c r="T301" i="1"/>
  <c r="T300" i="1" s="1"/>
  <c r="T299" i="1" s="1"/>
  <c r="Z248" i="1"/>
  <c r="O285" i="1"/>
  <c r="R285" i="1"/>
  <c r="R284" i="1" s="1"/>
  <c r="R282" i="1" s="1"/>
  <c r="R280" i="1" s="1"/>
  <c r="U285" i="1"/>
  <c r="U284" i="1" s="1"/>
  <c r="U282" i="1" s="1"/>
  <c r="Z231" i="1"/>
  <c r="P215" i="1"/>
  <c r="P213" i="1" s="1"/>
  <c r="S215" i="1"/>
  <c r="S213" i="1" s="1"/>
  <c r="W285" i="1"/>
  <c r="W284" i="1" s="1"/>
  <c r="W282" i="1" s="1"/>
  <c r="W280" i="1" s="1"/>
  <c r="T285" i="1"/>
  <c r="T284" i="1" s="1"/>
  <c r="T282" i="1" s="1"/>
  <c r="T280" i="1" s="1"/>
  <c r="Q376" i="1"/>
  <c r="S325" i="1" l="1"/>
  <c r="S324" i="1" s="1"/>
  <c r="T325" i="1"/>
  <c r="T324" i="1" s="1"/>
  <c r="T297" i="1" s="1"/>
  <c r="T295" i="1" s="1"/>
  <c r="Q325" i="1"/>
  <c r="Q324" i="1" s="1"/>
  <c r="R324" i="1" s="1"/>
  <c r="W324" i="1"/>
  <c r="P297" i="1"/>
  <c r="P295" i="1" s="1"/>
  <c r="O62" i="1"/>
  <c r="Q28" i="1"/>
  <c r="X219" i="1"/>
  <c r="Y219" i="1" s="1"/>
  <c r="Z219" i="1" s="1"/>
  <c r="W218" i="1"/>
  <c r="R151" i="2"/>
  <c r="R114" i="2"/>
  <c r="P114" i="2"/>
  <c r="R153" i="2"/>
  <c r="O295" i="1"/>
  <c r="P121" i="1"/>
  <c r="R237" i="1"/>
  <c r="R236" i="1" s="1"/>
  <c r="Q236" i="1"/>
  <c r="Q235" i="1" s="1"/>
  <c r="W121" i="1"/>
  <c r="R110" i="1"/>
  <c r="R301" i="1"/>
  <c r="Q215" i="1"/>
  <c r="U77" i="1"/>
  <c r="U237" i="1"/>
  <c r="U40" i="1"/>
  <c r="U209" i="1"/>
  <c r="R209" i="1"/>
  <c r="R77" i="1"/>
  <c r="R67" i="1"/>
  <c r="R227" i="1"/>
  <c r="U53" i="1"/>
  <c r="T102" i="1"/>
  <c r="U102" i="1" s="1"/>
  <c r="R326" i="1"/>
  <c r="X40" i="1"/>
  <c r="U67" i="1"/>
  <c r="R151" i="1"/>
  <c r="R150" i="1"/>
  <c r="U142" i="1"/>
  <c r="R142" i="1"/>
  <c r="R48" i="1"/>
  <c r="R98" i="1"/>
  <c r="U326" i="1"/>
  <c r="U48" i="1"/>
  <c r="O235" i="1"/>
  <c r="O215" i="1" s="1"/>
  <c r="O213" i="1" s="1"/>
  <c r="T236" i="1"/>
  <c r="T235" i="1" s="1"/>
  <c r="U235" i="1" s="1"/>
  <c r="X209" i="1"/>
  <c r="U98" i="1"/>
  <c r="T218" i="1"/>
  <c r="U218" i="1" s="1"/>
  <c r="U152" i="1"/>
  <c r="R53" i="1"/>
  <c r="P208" i="2"/>
  <c r="P206" i="2" s="1"/>
  <c r="R37" i="2"/>
  <c r="Q218" i="1"/>
  <c r="Q217" i="1" s="1"/>
  <c r="U110" i="1"/>
  <c r="P171" i="2"/>
  <c r="R171" i="2" s="1"/>
  <c r="R173" i="2"/>
  <c r="P273" i="2"/>
  <c r="R275" i="2"/>
  <c r="P288" i="2"/>
  <c r="R288" i="2" s="1"/>
  <c r="X210" i="2"/>
  <c r="R208" i="2"/>
  <c r="R206" i="2" s="1"/>
  <c r="AA210" i="2"/>
  <c r="U227" i="1"/>
  <c r="U259" i="1"/>
  <c r="U334" i="1"/>
  <c r="W270" i="1"/>
  <c r="W269" i="1" s="1"/>
  <c r="W267" i="1" s="1"/>
  <c r="U301" i="1"/>
  <c r="W299" i="1"/>
  <c r="T136" i="1"/>
  <c r="U136" i="1" s="1"/>
  <c r="U137" i="1"/>
  <c r="Q299" i="1"/>
  <c r="R299" i="1" s="1"/>
  <c r="R300" i="1"/>
  <c r="P217" i="1"/>
  <c r="R52" i="1"/>
  <c r="U52" i="1"/>
  <c r="Q73" i="1"/>
  <c r="R73" i="1" s="1"/>
  <c r="R74" i="1"/>
  <c r="U280" i="1"/>
  <c r="S299" i="1"/>
  <c r="U299" i="1" s="1"/>
  <c r="U300" i="1"/>
  <c r="S46" i="1"/>
  <c r="U46" i="1" s="1"/>
  <c r="U47" i="1"/>
  <c r="W25" i="1"/>
  <c r="X25" i="1" s="1"/>
  <c r="X27" i="1"/>
  <c r="Q136" i="1"/>
  <c r="R136" i="1" s="1"/>
  <c r="R137" i="1"/>
  <c r="T270" i="1"/>
  <c r="W94" i="1"/>
  <c r="T124" i="1"/>
  <c r="U124" i="1" s="1"/>
  <c r="U28" i="1"/>
  <c r="Q270" i="1"/>
  <c r="R270" i="1" s="1"/>
  <c r="U215" i="1"/>
  <c r="O284" i="1"/>
  <c r="X227" i="1"/>
  <c r="R334" i="1"/>
  <c r="X28" i="1"/>
  <c r="Q124" i="1"/>
  <c r="Q123" i="1" s="1"/>
  <c r="W235" i="1"/>
  <c r="W73" i="1"/>
  <c r="U74" i="1"/>
  <c r="T73" i="1"/>
  <c r="P94" i="1"/>
  <c r="O46" i="1"/>
  <c r="W181" i="1"/>
  <c r="W180" i="1" s="1"/>
  <c r="W178" i="1" s="1"/>
  <c r="W156" i="1" s="1"/>
  <c r="U196" i="1"/>
  <c r="T181" i="1"/>
  <c r="T180" i="1" s="1"/>
  <c r="T178" i="1" s="1"/>
  <c r="T156" i="1" s="1"/>
  <c r="P178" i="1"/>
  <c r="R97" i="1"/>
  <c r="Q96" i="1"/>
  <c r="U151" i="1"/>
  <c r="S150" i="1"/>
  <c r="U150" i="1" s="1"/>
  <c r="S96" i="1"/>
  <c r="U97" i="1"/>
  <c r="P46" i="1"/>
  <c r="R47" i="1"/>
  <c r="O96" i="1"/>
  <c r="O94" i="1" s="1"/>
  <c r="S180" i="1"/>
  <c r="Q181" i="1"/>
  <c r="R196" i="1"/>
  <c r="S27" i="1"/>
  <c r="U324" i="1" l="1"/>
  <c r="U325" i="1"/>
  <c r="R325" i="1"/>
  <c r="AE299" i="1"/>
  <c r="AE301" i="1" s="1"/>
  <c r="O53" i="1"/>
  <c r="O52" i="1" s="1"/>
  <c r="O44" i="1" s="1"/>
  <c r="O23" i="1" s="1"/>
  <c r="Q121" i="1"/>
  <c r="R121" i="1" s="1"/>
  <c r="P149" i="2"/>
  <c r="R149" i="2"/>
  <c r="R215" i="1"/>
  <c r="S121" i="1"/>
  <c r="T217" i="1"/>
  <c r="U217" i="1" s="1"/>
  <c r="T123" i="1"/>
  <c r="Q94" i="1"/>
  <c r="R94" i="1" s="1"/>
  <c r="Q81" i="1"/>
  <c r="R81" i="1" s="1"/>
  <c r="X81" i="1"/>
  <c r="Y209" i="1"/>
  <c r="Z209" i="1" s="1"/>
  <c r="U236" i="1"/>
  <c r="S297" i="1"/>
  <c r="S295" i="1" s="1"/>
  <c r="U295" i="1" s="1"/>
  <c r="T94" i="1"/>
  <c r="P16" i="2"/>
  <c r="Y227" i="1"/>
  <c r="Z227" i="1" s="1"/>
  <c r="S44" i="1"/>
  <c r="Q72" i="1"/>
  <c r="R124" i="1"/>
  <c r="R218" i="1"/>
  <c r="Q269" i="1"/>
  <c r="R269" i="1" s="1"/>
  <c r="W297" i="1"/>
  <c r="Q27" i="1"/>
  <c r="Q25" i="1" s="1"/>
  <c r="X218" i="1"/>
  <c r="W217" i="1"/>
  <c r="X217" i="1" s="1"/>
  <c r="R273" i="2"/>
  <c r="U181" i="1"/>
  <c r="R217" i="1"/>
  <c r="O282" i="1"/>
  <c r="O280" i="1" s="1"/>
  <c r="T269" i="1"/>
  <c r="U270" i="1"/>
  <c r="S178" i="1"/>
  <c r="U180" i="1"/>
  <c r="P156" i="1"/>
  <c r="T72" i="1"/>
  <c r="U73" i="1"/>
  <c r="W72" i="1"/>
  <c r="R96" i="1"/>
  <c r="U27" i="1"/>
  <c r="S25" i="1"/>
  <c r="R123" i="1"/>
  <c r="Q180" i="1"/>
  <c r="R181" i="1"/>
  <c r="R46" i="1"/>
  <c r="P44" i="1"/>
  <c r="S94" i="1"/>
  <c r="U96" i="1"/>
  <c r="Q297" i="1"/>
  <c r="Y81" i="1" l="1"/>
  <c r="Z81" i="1" s="1"/>
  <c r="S23" i="1"/>
  <c r="R16" i="2"/>
  <c r="P14" i="2"/>
  <c r="R14" i="2" s="1"/>
  <c r="O21" i="1"/>
  <c r="U123" i="1"/>
  <c r="T121" i="1"/>
  <c r="U121" i="1" s="1"/>
  <c r="W295" i="1"/>
  <c r="U94" i="1"/>
  <c r="U297" i="1"/>
  <c r="Y218" i="1"/>
  <c r="Z218" i="1" s="1"/>
  <c r="Q267" i="1"/>
  <c r="R72" i="1"/>
  <c r="Q44" i="1"/>
  <c r="R44" i="1" s="1"/>
  <c r="Y217" i="1"/>
  <c r="Z217" i="1" s="1"/>
  <c r="W215" i="1"/>
  <c r="W213" i="1" s="1"/>
  <c r="T267" i="1"/>
  <c r="U269" i="1"/>
  <c r="R235" i="1"/>
  <c r="Q295" i="1"/>
  <c r="R295" i="1" s="1"/>
  <c r="R297" i="1"/>
  <c r="Q178" i="1"/>
  <c r="R180" i="1"/>
  <c r="W44" i="1"/>
  <c r="W23" i="1" s="1"/>
  <c r="U72" i="1"/>
  <c r="T44" i="1"/>
  <c r="U178" i="1"/>
  <c r="S156" i="1"/>
  <c r="U156" i="1" s="1"/>
  <c r="U25" i="1"/>
  <c r="T23" i="1" l="1"/>
  <c r="Q23" i="1"/>
  <c r="R267" i="1"/>
  <c r="Q213" i="1"/>
  <c r="R213" i="1" s="1"/>
  <c r="U267" i="1"/>
  <c r="T213" i="1"/>
  <c r="U213" i="1" s="1"/>
  <c r="W21" i="1"/>
  <c r="Q156" i="1"/>
  <c r="R156" i="1" s="1"/>
  <c r="R178" i="1"/>
  <c r="S21" i="1"/>
  <c r="S347" i="1" s="1"/>
  <c r="U44" i="1"/>
  <c r="W347" i="1" l="1"/>
  <c r="Q21" i="1"/>
  <c r="Q347" i="1" s="1"/>
  <c r="Q378" i="1" s="1"/>
  <c r="T21" i="1"/>
  <c r="T347" i="1" s="1"/>
  <c r="U23" i="1"/>
  <c r="O347" i="1"/>
  <c r="W378" i="1" l="1"/>
  <c r="W395" i="1" s="1"/>
  <c r="Q395" i="1"/>
  <c r="U21" i="1"/>
  <c r="U347" i="1" s="1"/>
  <c r="AG380" i="1"/>
  <c r="Q22" i="9" l="1"/>
  <c r="Q21" i="9" s="1"/>
  <c r="Q19" i="9" s="1"/>
  <c r="Q17" i="9" s="1"/>
  <c r="O22" i="9"/>
  <c r="O21" i="9" s="1"/>
  <c r="O19" i="9" s="1"/>
  <c r="O17" i="9" s="1"/>
  <c r="O15" i="9" s="1"/>
  <c r="T209" i="9" l="1"/>
  <c r="T207" i="9" s="1"/>
  <c r="T15" i="9" l="1"/>
  <c r="R164" i="9" l="1"/>
  <c r="X164" i="9" s="1"/>
  <c r="Q162" i="9"/>
  <c r="Q161" i="9" s="1"/>
  <c r="Q155" i="9" s="1"/>
  <c r="W164" i="9" l="1"/>
  <c r="S163" i="2"/>
  <c r="Y163" i="2" s="1"/>
  <c r="Q154" i="9"/>
  <c r="Z163" i="2" l="1"/>
  <c r="Q152" i="9"/>
  <c r="Q150" i="9" l="1"/>
  <c r="Q257" i="9" l="1"/>
  <c r="Q230" i="9" l="1"/>
  <c r="Q229" i="9" s="1"/>
  <c r="Q209" i="9" s="1"/>
  <c r="Q207" i="9" s="1"/>
  <c r="Q15" i="9" s="1"/>
  <c r="V265" i="1"/>
  <c r="X265" i="1" l="1"/>
  <c r="S241" i="9"/>
  <c r="X247" i="1"/>
  <c r="Y247" i="1" s="1"/>
  <c r="Z247" i="1" s="1"/>
  <c r="S240" i="9"/>
  <c r="X246" i="1"/>
  <c r="Y246" i="1" s="1"/>
  <c r="Z246" i="1" s="1"/>
  <c r="Y265" i="1" l="1"/>
  <c r="Z265" i="1" s="1"/>
  <c r="X264" i="1"/>
  <c r="Y264" i="1" s="1"/>
  <c r="Z264" i="1" s="1"/>
  <c r="R240" i="9"/>
  <c r="U240" i="9"/>
  <c r="U241" i="9"/>
  <c r="R241" i="9"/>
  <c r="S258" i="9"/>
  <c r="U259" i="9"/>
  <c r="X241" i="9" l="1"/>
  <c r="X240" i="9"/>
  <c r="Y259" i="9"/>
  <c r="V259" i="9"/>
  <c r="R259" i="9"/>
  <c r="X259" i="9" s="1"/>
  <c r="V241" i="9"/>
  <c r="Y241" i="9"/>
  <c r="S257" i="9"/>
  <c r="U257" i="9" s="1"/>
  <c r="U258" i="9"/>
  <c r="V240" i="9"/>
  <c r="Y240" i="9"/>
  <c r="W241" i="2"/>
  <c r="S141" i="9" l="1"/>
  <c r="X147" i="1"/>
  <c r="Y147" i="1" s="1"/>
  <c r="Z147" i="1" s="1"/>
  <c r="Y257" i="9"/>
  <c r="V257" i="9"/>
  <c r="R258" i="9"/>
  <c r="X258" i="9" s="1"/>
  <c r="P257" i="9"/>
  <c r="X241" i="2"/>
  <c r="V258" i="9"/>
  <c r="Y258" i="9"/>
  <c r="Z241" i="2"/>
  <c r="U141" i="9" l="1"/>
  <c r="R257" i="9"/>
  <c r="X257" i="9" s="1"/>
  <c r="V141" i="9" l="1"/>
  <c r="Y141" i="9"/>
  <c r="U140" i="2"/>
  <c r="R141" i="9"/>
  <c r="S140" i="2" s="1"/>
  <c r="X141" i="9" l="1"/>
  <c r="W140" i="2"/>
  <c r="X140" i="2" l="1"/>
  <c r="AA140" i="2"/>
  <c r="Z140" i="2"/>
  <c r="S193" i="9" l="1"/>
  <c r="X199" i="1"/>
  <c r="Y199" i="1" s="1"/>
  <c r="Z199" i="1" s="1"/>
  <c r="U193" i="9" l="1"/>
  <c r="U192" i="2" s="1"/>
  <c r="W192" i="2" s="1"/>
  <c r="AA192" i="2" s="1"/>
  <c r="P193" i="9"/>
  <c r="R193" i="9" s="1"/>
  <c r="S192" i="2" s="1"/>
  <c r="Z192" i="2" l="1"/>
  <c r="Y193" i="9"/>
  <c r="V193" i="9"/>
  <c r="X193" i="9"/>
  <c r="V335" i="1" l="1"/>
  <c r="V330" i="1"/>
  <c r="S324" i="9" l="1"/>
  <c r="X330" i="1"/>
  <c r="Y330" i="1" s="1"/>
  <c r="Z330" i="1" s="1"/>
  <c r="S330" i="9"/>
  <c r="S329" i="9" s="1"/>
  <c r="S328" i="9" s="1"/>
  <c r="X336" i="1"/>
  <c r="Y336" i="1" s="1"/>
  <c r="Z336" i="1" s="1"/>
  <c r="V334" i="1" l="1"/>
  <c r="X334" i="1" s="1"/>
  <c r="Y334" i="1" s="1"/>
  <c r="Z334" i="1" s="1"/>
  <c r="X335" i="1"/>
  <c r="Y335" i="1" s="1"/>
  <c r="Z335" i="1" s="1"/>
  <c r="P324" i="9"/>
  <c r="U324" i="9"/>
  <c r="P329" i="9"/>
  <c r="P328" i="9" s="1"/>
  <c r="U330" i="9"/>
  <c r="U329" i="9" l="1"/>
  <c r="Y329" i="9" s="1"/>
  <c r="U323" i="2"/>
  <c r="Y324" i="9"/>
  <c r="U329" i="2"/>
  <c r="U328" i="2" s="1"/>
  <c r="U327" i="2" s="1"/>
  <c r="Y330" i="9"/>
  <c r="S201" i="9"/>
  <c r="X207" i="1"/>
  <c r="Y207" i="1" s="1"/>
  <c r="Z207" i="1" s="1"/>
  <c r="R330" i="9"/>
  <c r="R324" i="9"/>
  <c r="U328" i="9" l="1"/>
  <c r="Y328" i="9" s="1"/>
  <c r="S160" i="9"/>
  <c r="X166" i="1"/>
  <c r="Y166" i="1" s="1"/>
  <c r="Z166" i="1" s="1"/>
  <c r="W329" i="2"/>
  <c r="S323" i="2"/>
  <c r="V324" i="9"/>
  <c r="X324" i="9"/>
  <c r="S329" i="2"/>
  <c r="S328" i="2" s="1"/>
  <c r="S327" i="2" s="1"/>
  <c r="X330" i="9"/>
  <c r="V330" i="9"/>
  <c r="U201" i="9"/>
  <c r="W323" i="2"/>
  <c r="R329" i="9"/>
  <c r="R328" i="9"/>
  <c r="V328" i="9" l="1"/>
  <c r="W328" i="2"/>
  <c r="W327" i="2"/>
  <c r="V201" i="9"/>
  <c r="Y201" i="9"/>
  <c r="U200" i="2"/>
  <c r="W200" i="2" s="1"/>
  <c r="Z329" i="2"/>
  <c r="X329" i="2"/>
  <c r="AA329" i="2"/>
  <c r="X328" i="9"/>
  <c r="AA323" i="2"/>
  <c r="X323" i="2"/>
  <c r="R201" i="9"/>
  <c r="V329" i="9"/>
  <c r="X329" i="9"/>
  <c r="Z323" i="2"/>
  <c r="U160" i="9"/>
  <c r="AA327" i="2" l="1"/>
  <c r="X327" i="2"/>
  <c r="S200" i="2"/>
  <c r="Z200" i="2" s="1"/>
  <c r="Y200" i="2" s="1"/>
  <c r="X201" i="9"/>
  <c r="X328" i="2"/>
  <c r="AA328" i="2"/>
  <c r="Y160" i="9"/>
  <c r="V160" i="9"/>
  <c r="U159" i="2"/>
  <c r="W159" i="2" s="1"/>
  <c r="Z328" i="2"/>
  <c r="S159" i="2"/>
  <c r="X160" i="9"/>
  <c r="AA200" i="2"/>
  <c r="X200" i="2"/>
  <c r="Z327" i="2" l="1"/>
  <c r="Y159" i="2"/>
  <c r="Z159" i="2"/>
  <c r="AA159" i="2"/>
  <c r="X159" i="2"/>
  <c r="V255" i="1" l="1"/>
  <c r="V250" i="1" s="1"/>
  <c r="X255" i="1" l="1"/>
  <c r="Y255" i="1" s="1"/>
  <c r="Z255" i="1" s="1"/>
  <c r="S249" i="9"/>
  <c r="R249" i="9" l="1"/>
  <c r="U249" i="9"/>
  <c r="Y249" i="9" l="1"/>
  <c r="U254" i="2"/>
  <c r="W254" i="2" s="1"/>
  <c r="V249" i="9"/>
  <c r="S254" i="2"/>
  <c r="X249" i="9"/>
  <c r="Z254" i="2" l="1"/>
  <c r="X254" i="2"/>
  <c r="AA254" i="2"/>
  <c r="S287" i="9" l="1"/>
  <c r="X293" i="1"/>
  <c r="Y293" i="1" s="1"/>
  <c r="Z293" i="1" s="1"/>
  <c r="V292" i="1"/>
  <c r="V291" i="1" l="1"/>
  <c r="X291" i="1" s="1"/>
  <c r="Y291" i="1" s="1"/>
  <c r="Z291" i="1" s="1"/>
  <c r="X292" i="1"/>
  <c r="Y292" i="1" s="1"/>
  <c r="Z292" i="1" s="1"/>
  <c r="U287" i="9"/>
  <c r="U286" i="2" s="1"/>
  <c r="S286" i="9"/>
  <c r="S285" i="9" l="1"/>
  <c r="U285" i="9" s="1"/>
  <c r="U286" i="9"/>
  <c r="V287" i="9"/>
  <c r="Y287" i="9"/>
  <c r="R287" i="9"/>
  <c r="X287" i="9" s="1"/>
  <c r="P286" i="9"/>
  <c r="V286" i="9" l="1"/>
  <c r="Y286" i="9"/>
  <c r="P285" i="9"/>
  <c r="R285" i="9" s="1"/>
  <c r="R286" i="9"/>
  <c r="X286" i="9" s="1"/>
  <c r="Y285" i="9"/>
  <c r="V285" i="9"/>
  <c r="S286" i="2" l="1"/>
  <c r="W286" i="2" s="1"/>
  <c r="X285" i="9"/>
  <c r="Z286" i="2" l="1"/>
  <c r="AA286" i="2"/>
  <c r="X286" i="2"/>
  <c r="X290" i="1" l="1"/>
  <c r="S284" i="9"/>
  <c r="V287" i="1"/>
  <c r="V286" i="1" s="1"/>
  <c r="V285" i="1" s="1"/>
  <c r="V284" i="1" s="1"/>
  <c r="V282" i="1" s="1"/>
  <c r="V280" i="1" s="1"/>
  <c r="U284" i="9" l="1"/>
  <c r="S281" i="9"/>
  <c r="Y290" i="1"/>
  <c r="Z290" i="1" s="1"/>
  <c r="X287" i="1"/>
  <c r="V284" i="9" l="1"/>
  <c r="Y284" i="9"/>
  <c r="U283" i="2"/>
  <c r="S280" i="9"/>
  <c r="U281" i="9"/>
  <c r="X286" i="1"/>
  <c r="Y287" i="1"/>
  <c r="Z287" i="1" s="1"/>
  <c r="R284" i="9"/>
  <c r="P281" i="9"/>
  <c r="S283" i="2" l="1"/>
  <c r="X284" i="9"/>
  <c r="U280" i="9"/>
  <c r="S279" i="9"/>
  <c r="X285" i="1"/>
  <c r="Y286" i="1"/>
  <c r="Z286" i="1" s="1"/>
  <c r="U280" i="2"/>
  <c r="W283" i="2"/>
  <c r="P280" i="9"/>
  <c r="R281" i="9"/>
  <c r="X281" i="9" s="1"/>
  <c r="V281" i="9"/>
  <c r="Y281" i="9"/>
  <c r="U279" i="2" l="1"/>
  <c r="W280" i="2"/>
  <c r="V280" i="9"/>
  <c r="Y280" i="9"/>
  <c r="R280" i="9"/>
  <c r="X280" i="9" s="1"/>
  <c r="P279" i="9"/>
  <c r="X284" i="1"/>
  <c r="Y285" i="1"/>
  <c r="Z285" i="1" s="1"/>
  <c r="Z283" i="2"/>
  <c r="S280" i="2"/>
  <c r="AA283" i="2"/>
  <c r="X283" i="2"/>
  <c r="U279" i="9"/>
  <c r="S278" i="9"/>
  <c r="S276" i="9" l="1"/>
  <c r="U278" i="9"/>
  <c r="S279" i="2"/>
  <c r="Z280" i="2"/>
  <c r="P278" i="9"/>
  <c r="R279" i="9"/>
  <c r="X279" i="9" s="1"/>
  <c r="X280" i="2"/>
  <c r="AA280" i="2"/>
  <c r="S245" i="9"/>
  <c r="X251" i="1"/>
  <c r="Y251" i="1" s="1"/>
  <c r="Z251" i="1" s="1"/>
  <c r="V279" i="9"/>
  <c r="Y279" i="9"/>
  <c r="U278" i="2"/>
  <c r="W279" i="2"/>
  <c r="Y284" i="1"/>
  <c r="Z284" i="1" s="1"/>
  <c r="X282" i="1"/>
  <c r="AA279" i="2" l="1"/>
  <c r="X279" i="2"/>
  <c r="Z279" i="2"/>
  <c r="S278" i="2"/>
  <c r="W278" i="2"/>
  <c r="U277" i="2"/>
  <c r="V278" i="9"/>
  <c r="Y278" i="9"/>
  <c r="X280" i="1"/>
  <c r="Y280" i="1" s="1"/>
  <c r="Z280" i="1" s="1"/>
  <c r="Y282" i="1"/>
  <c r="Z282" i="1" s="1"/>
  <c r="U245" i="9"/>
  <c r="P276" i="9"/>
  <c r="R278" i="9"/>
  <c r="X278" i="9" s="1"/>
  <c r="S274" i="9"/>
  <c r="U274" i="9" s="1"/>
  <c r="Y274" i="9" s="1"/>
  <c r="U276" i="9"/>
  <c r="R245" i="9" l="1"/>
  <c r="S277" i="2"/>
  <c r="Z278" i="2"/>
  <c r="R276" i="9"/>
  <c r="X276" i="9" s="1"/>
  <c r="P274" i="9"/>
  <c r="R274" i="9" s="1"/>
  <c r="X274" i="9" s="1"/>
  <c r="V274" i="9" s="1"/>
  <c r="W277" i="2"/>
  <c r="U275" i="2"/>
  <c r="U248" i="2"/>
  <c r="W248" i="2" s="1"/>
  <c r="V245" i="9"/>
  <c r="Y245" i="9"/>
  <c r="Y276" i="9"/>
  <c r="V276" i="9"/>
  <c r="AA278" i="2"/>
  <c r="X278" i="2"/>
  <c r="U273" i="2" l="1"/>
  <c r="W273" i="2" s="1"/>
  <c r="W275" i="2"/>
  <c r="AA277" i="2"/>
  <c r="X277" i="2"/>
  <c r="S275" i="2"/>
  <c r="Z277" i="2"/>
  <c r="AA248" i="2"/>
  <c r="X248" i="2"/>
  <c r="X245" i="9"/>
  <c r="S248" i="2"/>
  <c r="Z248" i="2" s="1"/>
  <c r="X275" i="2" l="1"/>
  <c r="AA275" i="2"/>
  <c r="S273" i="2"/>
  <c r="Z273" i="2" s="1"/>
  <c r="Z275" i="2"/>
  <c r="X273" i="2"/>
  <c r="AA273" i="2"/>
  <c r="V262" i="1" l="1"/>
  <c r="V260" i="1" s="1"/>
  <c r="S256" i="9" l="1"/>
  <c r="X262" i="1"/>
  <c r="Y262" i="1" s="1"/>
  <c r="Z262" i="1" s="1"/>
  <c r="S234" i="9"/>
  <c r="X240" i="1"/>
  <c r="Y240" i="1" s="1"/>
  <c r="Z240" i="1" s="1"/>
  <c r="S235" i="9"/>
  <c r="X241" i="1"/>
  <c r="Y241" i="1" s="1"/>
  <c r="Z241" i="1" s="1"/>
  <c r="X243" i="1"/>
  <c r="Y243" i="1" s="1"/>
  <c r="Z243" i="1" s="1"/>
  <c r="S237" i="9"/>
  <c r="S246" i="9"/>
  <c r="X252" i="1"/>
  <c r="Y252" i="1" s="1"/>
  <c r="Z252" i="1" s="1"/>
  <c r="R235" i="9" l="1"/>
  <c r="U235" i="9"/>
  <c r="V198" i="1"/>
  <c r="U246" i="9"/>
  <c r="U245" i="2" s="1"/>
  <c r="S244" i="9"/>
  <c r="S243" i="9" s="1"/>
  <c r="U243" i="9" s="1"/>
  <c r="R237" i="9"/>
  <c r="U237" i="9"/>
  <c r="U234" i="9"/>
  <c r="V193" i="1"/>
  <c r="V249" i="1"/>
  <c r="X250" i="1"/>
  <c r="Y250" i="1" s="1"/>
  <c r="Z250" i="1" s="1"/>
  <c r="S254" i="9"/>
  <c r="U254" i="9" s="1"/>
  <c r="V259" i="1"/>
  <c r="X260" i="1"/>
  <c r="Y260" i="1" s="1"/>
  <c r="Z260" i="1" s="1"/>
  <c r="U256" i="9"/>
  <c r="X249" i="1" l="1"/>
  <c r="Y249" i="1" s="1"/>
  <c r="Z249" i="1" s="1"/>
  <c r="V256" i="9"/>
  <c r="Y256" i="9"/>
  <c r="X200" i="1"/>
  <c r="Y200" i="1" s="1"/>
  <c r="Z200" i="1" s="1"/>
  <c r="S194" i="9"/>
  <c r="S185" i="9"/>
  <c r="X191" i="1"/>
  <c r="Y191" i="1" s="1"/>
  <c r="Z191" i="1" s="1"/>
  <c r="V254" i="9"/>
  <c r="Y254" i="9"/>
  <c r="Y237" i="9"/>
  <c r="V237" i="9"/>
  <c r="U237" i="2"/>
  <c r="W237" i="2" s="1"/>
  <c r="R246" i="9"/>
  <c r="S245" i="2" s="1"/>
  <c r="S234" i="2"/>
  <c r="X235" i="9"/>
  <c r="S237" i="2"/>
  <c r="X237" i="9"/>
  <c r="S192" i="9"/>
  <c r="X198" i="1"/>
  <c r="Y198" i="1" s="1"/>
  <c r="Z198" i="1" s="1"/>
  <c r="V234" i="9"/>
  <c r="Y234" i="9"/>
  <c r="U233" i="2"/>
  <c r="W233" i="2" s="1"/>
  <c r="P254" i="9"/>
  <c r="R256" i="9"/>
  <c r="S179" i="9"/>
  <c r="X185" i="1"/>
  <c r="Y185" i="1" s="1"/>
  <c r="Z185" i="1" s="1"/>
  <c r="X259" i="1"/>
  <c r="Y259" i="1" s="1"/>
  <c r="Z259" i="1" s="1"/>
  <c r="S253" i="9"/>
  <c r="U253" i="9" s="1"/>
  <c r="X193" i="1"/>
  <c r="Y193" i="1" s="1"/>
  <c r="Z193" i="1" s="1"/>
  <c r="S187" i="9"/>
  <c r="R234" i="9"/>
  <c r="Y246" i="9"/>
  <c r="V246" i="9"/>
  <c r="V244" i="9" s="1"/>
  <c r="V243" i="9" s="1"/>
  <c r="U244" i="9"/>
  <c r="Y235" i="9"/>
  <c r="U234" i="2"/>
  <c r="W234" i="2" s="1"/>
  <c r="V235" i="9"/>
  <c r="P192" i="9" l="1"/>
  <c r="U192" i="9"/>
  <c r="X246" i="9"/>
  <c r="R244" i="9"/>
  <c r="R243" i="9" s="1"/>
  <c r="U194" i="9"/>
  <c r="R194" i="9"/>
  <c r="S158" i="9"/>
  <c r="X164" i="1"/>
  <c r="Y164" i="1" s="1"/>
  <c r="Z164" i="1" s="1"/>
  <c r="X154" i="1"/>
  <c r="Y154" i="1" s="1"/>
  <c r="Z154" i="1" s="1"/>
  <c r="V153" i="1"/>
  <c r="S148" i="9"/>
  <c r="AA237" i="2"/>
  <c r="X237" i="2"/>
  <c r="X176" i="1"/>
  <c r="Y176" i="1" s="1"/>
  <c r="Z176" i="1" s="1"/>
  <c r="V175" i="1"/>
  <c r="S170" i="9"/>
  <c r="P253" i="9"/>
  <c r="R253" i="9" s="1"/>
  <c r="X253" i="9" s="1"/>
  <c r="R254" i="9"/>
  <c r="X254" i="9" s="1"/>
  <c r="X233" i="2"/>
  <c r="AA233" i="2"/>
  <c r="Z234" i="2"/>
  <c r="U179" i="9"/>
  <c r="X256" i="9"/>
  <c r="X234" i="2"/>
  <c r="AA234" i="2"/>
  <c r="Y243" i="9"/>
  <c r="W245" i="2"/>
  <c r="Y244" i="9"/>
  <c r="S233" i="2"/>
  <c r="Z233" i="2" s="1"/>
  <c r="X234" i="9"/>
  <c r="P187" i="9"/>
  <c r="R187" i="9" s="1"/>
  <c r="U187" i="9"/>
  <c r="V253" i="9"/>
  <c r="Y253" i="9"/>
  <c r="Z237" i="2"/>
  <c r="R185" i="9"/>
  <c r="U185" i="9"/>
  <c r="X187" i="9" l="1"/>
  <c r="S186" i="2"/>
  <c r="X175" i="1"/>
  <c r="Y175" i="1" s="1"/>
  <c r="Z175" i="1" s="1"/>
  <c r="V174" i="1"/>
  <c r="X174" i="1" s="1"/>
  <c r="Y174" i="1" s="1"/>
  <c r="Z174" i="1" s="1"/>
  <c r="U193" i="2"/>
  <c r="W193" i="2" s="1"/>
  <c r="V194" i="9"/>
  <c r="Y194" i="9"/>
  <c r="V192" i="9"/>
  <c r="Y192" i="9"/>
  <c r="U191" i="2"/>
  <c r="W191" i="2" s="1"/>
  <c r="V185" i="9"/>
  <c r="U184" i="2"/>
  <c r="W184" i="2" s="1"/>
  <c r="Y185" i="9"/>
  <c r="X245" i="2"/>
  <c r="AA245" i="2"/>
  <c r="R179" i="9"/>
  <c r="U148" i="9"/>
  <c r="S147" i="9"/>
  <c r="X244" i="9"/>
  <c r="Z245" i="2"/>
  <c r="S243" i="2"/>
  <c r="R192" i="9"/>
  <c r="X185" i="9"/>
  <c r="S184" i="2"/>
  <c r="V179" i="9"/>
  <c r="U178" i="2"/>
  <c r="Y179" i="9"/>
  <c r="X153" i="1"/>
  <c r="Y153" i="1" s="1"/>
  <c r="Z153" i="1" s="1"/>
  <c r="V152" i="1"/>
  <c r="U158" i="9"/>
  <c r="Y187" i="9"/>
  <c r="V187" i="9"/>
  <c r="U186" i="2"/>
  <c r="W186" i="2" s="1"/>
  <c r="U170" i="9"/>
  <c r="S169" i="9"/>
  <c r="S193" i="2"/>
  <c r="X194" i="9"/>
  <c r="R33" i="9"/>
  <c r="R32" i="9"/>
  <c r="Z184" i="2" l="1"/>
  <c r="Z193" i="2"/>
  <c r="V170" i="9"/>
  <c r="U169" i="2"/>
  <c r="Y170" i="9"/>
  <c r="S32" i="2"/>
  <c r="S168" i="9"/>
  <c r="U168" i="9" s="1"/>
  <c r="U169" i="9"/>
  <c r="AA186" i="2"/>
  <c r="X186" i="2"/>
  <c r="R158" i="9"/>
  <c r="U243" i="2"/>
  <c r="W243" i="2" s="1"/>
  <c r="Z243" i="2" s="1"/>
  <c r="R148" i="9"/>
  <c r="P147" i="9"/>
  <c r="X193" i="2"/>
  <c r="AA193" i="2"/>
  <c r="Z186" i="2"/>
  <c r="V158" i="9"/>
  <c r="U157" i="2"/>
  <c r="Y158" i="9"/>
  <c r="S191" i="2"/>
  <c r="Z191" i="2" s="1"/>
  <c r="X192" i="9"/>
  <c r="R170" i="9"/>
  <c r="P169" i="9"/>
  <c r="X179" i="9"/>
  <c r="S178" i="2"/>
  <c r="U147" i="2"/>
  <c r="Y148" i="9"/>
  <c r="V148" i="9"/>
  <c r="S31" i="2"/>
  <c r="V151" i="1"/>
  <c r="X152" i="1"/>
  <c r="Y152" i="1" s="1"/>
  <c r="Z152" i="1" s="1"/>
  <c r="W178" i="2"/>
  <c r="S242" i="2"/>
  <c r="U242" i="2" s="1"/>
  <c r="W242" i="2" s="1"/>
  <c r="X243" i="9"/>
  <c r="U147" i="9"/>
  <c r="S146" i="9"/>
  <c r="AA184" i="2"/>
  <c r="X184" i="2"/>
  <c r="X191" i="2"/>
  <c r="AA191" i="2"/>
  <c r="R25" i="9"/>
  <c r="R26" i="9"/>
  <c r="R27" i="9"/>
  <c r="R28" i="9"/>
  <c r="R29" i="9"/>
  <c r="R30" i="9"/>
  <c r="S27" i="2" l="1"/>
  <c r="U146" i="2"/>
  <c r="W147" i="2"/>
  <c r="S28" i="2"/>
  <c r="S24" i="2"/>
  <c r="R147" i="9"/>
  <c r="X147" i="9" s="1"/>
  <c r="P146" i="9"/>
  <c r="X148" i="9"/>
  <c r="S147" i="2"/>
  <c r="X158" i="9"/>
  <c r="S157" i="2"/>
  <c r="U146" i="9"/>
  <c r="S145" i="9"/>
  <c r="AA178" i="2"/>
  <c r="X178" i="2"/>
  <c r="Z178" i="2"/>
  <c r="S169" i="2"/>
  <c r="X170" i="9"/>
  <c r="V169" i="9"/>
  <c r="Y169" i="9"/>
  <c r="W169" i="2"/>
  <c r="U168" i="2"/>
  <c r="Z242" i="2"/>
  <c r="X242" i="2"/>
  <c r="AA242" i="2"/>
  <c r="R169" i="9"/>
  <c r="P168" i="9"/>
  <c r="R168" i="9" s="1"/>
  <c r="AA243" i="2"/>
  <c r="X243" i="2"/>
  <c r="S26" i="2"/>
  <c r="S29" i="2"/>
  <c r="S25" i="2"/>
  <c r="Y147" i="9"/>
  <c r="V147" i="9"/>
  <c r="X151" i="1"/>
  <c r="Y151" i="1" s="1"/>
  <c r="Z151" i="1" s="1"/>
  <c r="V150" i="1"/>
  <c r="X150" i="1" s="1"/>
  <c r="Y150" i="1" s="1"/>
  <c r="Z150" i="1" s="1"/>
  <c r="W157" i="2"/>
  <c r="Y168" i="9"/>
  <c r="V168" i="9"/>
  <c r="R24" i="9" l="1"/>
  <c r="Z157" i="2"/>
  <c r="Z147" i="2"/>
  <c r="S146" i="2"/>
  <c r="P145" i="9"/>
  <c r="R146" i="9"/>
  <c r="X146" i="9" s="1"/>
  <c r="AA157" i="2"/>
  <c r="X157" i="2"/>
  <c r="S167" i="2"/>
  <c r="X168" i="9"/>
  <c r="W168" i="2"/>
  <c r="U167" i="2"/>
  <c r="W167" i="2" s="1"/>
  <c r="S144" i="9"/>
  <c r="U144" i="9" s="1"/>
  <c r="U145" i="9"/>
  <c r="AA147" i="2"/>
  <c r="X147" i="2"/>
  <c r="S168" i="2"/>
  <c r="X169" i="9"/>
  <c r="X169" i="2"/>
  <c r="AA169" i="2"/>
  <c r="Z169" i="2"/>
  <c r="Y146" i="9"/>
  <c r="V146" i="9"/>
  <c r="W146" i="2"/>
  <c r="U145" i="2"/>
  <c r="Z168" i="2" l="1"/>
  <c r="Z167" i="2"/>
  <c r="W145" i="2"/>
  <c r="U144" i="2"/>
  <c r="X146" i="2"/>
  <c r="AA146" i="2"/>
  <c r="Y144" i="9"/>
  <c r="V144" i="9"/>
  <c r="X168" i="2"/>
  <c r="AA168" i="2"/>
  <c r="R145" i="9"/>
  <c r="X145" i="9" s="1"/>
  <c r="P144" i="9"/>
  <c r="R144" i="9" s="1"/>
  <c r="X144" i="9" s="1"/>
  <c r="S23" i="2"/>
  <c r="Y145" i="9"/>
  <c r="V145" i="9"/>
  <c r="AA167" i="2"/>
  <c r="X167" i="2"/>
  <c r="S145" i="2"/>
  <c r="Z146" i="2"/>
  <c r="S144" i="2" l="1"/>
  <c r="Z145" i="2"/>
  <c r="AA145" i="2"/>
  <c r="X145" i="2"/>
  <c r="U143" i="2"/>
  <c r="W143" i="2" s="1"/>
  <c r="W144" i="2"/>
  <c r="S143" i="2" l="1"/>
  <c r="Z143" i="2" s="1"/>
  <c r="Z144" i="2"/>
  <c r="X144" i="2"/>
  <c r="AA144" i="2"/>
  <c r="AA143" i="2"/>
  <c r="X143" i="2"/>
  <c r="R31" i="9" l="1"/>
  <c r="P23" i="9"/>
  <c r="R23" i="9" l="1"/>
  <c r="S30" i="2"/>
  <c r="S22" i="2" l="1"/>
  <c r="V292" i="2" l="1"/>
  <c r="T292" i="2" l="1"/>
  <c r="R36" i="9" l="1"/>
  <c r="S35" i="2" s="1"/>
  <c r="P35" i="9"/>
  <c r="R35" i="9" s="1"/>
  <c r="S34" i="2" l="1"/>
  <c r="P34" i="9"/>
  <c r="T35" i="2"/>
  <c r="P22" i="9" l="1"/>
  <c r="R34" i="9"/>
  <c r="W35" i="2"/>
  <c r="T34" i="2"/>
  <c r="W34" i="2" l="1"/>
  <c r="T33" i="2"/>
  <c r="S33" i="2"/>
  <c r="X35" i="2"/>
  <c r="AA35" i="2"/>
  <c r="Y35" i="2"/>
  <c r="Z35" i="2"/>
  <c r="P21" i="9"/>
  <c r="R22" i="9"/>
  <c r="S21" i="2" l="1"/>
  <c r="W33" i="2"/>
  <c r="Z33" i="2" s="1"/>
  <c r="R21" i="9"/>
  <c r="P19" i="9"/>
  <c r="AA34" i="2"/>
  <c r="X34" i="2"/>
  <c r="Y34" i="2"/>
  <c r="Z34" i="2"/>
  <c r="R19" i="9" l="1"/>
  <c r="AA33" i="2"/>
  <c r="X33" i="2"/>
  <c r="S20" i="2"/>
  <c r="Y33" i="2"/>
  <c r="S18" i="2" l="1"/>
  <c r="X391" i="1" l="1"/>
  <c r="Y391" i="1" s="1"/>
  <c r="V306" i="1" l="1"/>
  <c r="X184" i="1" l="1"/>
  <c r="Y184" i="1" s="1"/>
  <c r="Z184" i="1" s="1"/>
  <c r="S178" i="9"/>
  <c r="S302" i="9"/>
  <c r="X308" i="1"/>
  <c r="Y308" i="1" s="1"/>
  <c r="Z308" i="1" s="1"/>
  <c r="S300" i="9"/>
  <c r="X306" i="1"/>
  <c r="Y306" i="1" s="1"/>
  <c r="Z306" i="1" s="1"/>
  <c r="R302" i="9" l="1"/>
  <c r="S301" i="2" s="1"/>
  <c r="U302" i="9"/>
  <c r="P300" i="9"/>
  <c r="R300" i="9" s="1"/>
  <c r="U300" i="9"/>
  <c r="U178" i="9"/>
  <c r="X300" i="9" l="1"/>
  <c r="W300" i="9"/>
  <c r="U177" i="2"/>
  <c r="Y178" i="9"/>
  <c r="V178" i="9"/>
  <c r="V302" i="9"/>
  <c r="Y302" i="9"/>
  <c r="U301" i="2"/>
  <c r="U299" i="2"/>
  <c r="Y300" i="9"/>
  <c r="V300" i="9"/>
  <c r="R178" i="9"/>
  <c r="S177" i="2" s="1"/>
  <c r="X302" i="9"/>
  <c r="W177" i="2" l="1"/>
  <c r="X178" i="9"/>
  <c r="W301" i="2"/>
  <c r="S299" i="2"/>
  <c r="W299" i="2"/>
  <c r="Z299" i="2" l="1"/>
  <c r="Y299" i="2" s="1"/>
  <c r="Z301" i="2"/>
  <c r="Z177" i="2"/>
  <c r="X301" i="2"/>
  <c r="AA301" i="2"/>
  <c r="X299" i="2"/>
  <c r="AA299" i="2"/>
  <c r="X177" i="2"/>
  <c r="AA177" i="2"/>
  <c r="X373" i="1" l="1"/>
  <c r="Y373" i="1" s="1"/>
  <c r="V304" i="1" l="1"/>
  <c r="S298" i="9" l="1"/>
  <c r="X304" i="1"/>
  <c r="Y304" i="1" s="1"/>
  <c r="Z304" i="1" s="1"/>
  <c r="V302" i="1"/>
  <c r="V301" i="1" l="1"/>
  <c r="X302" i="1"/>
  <c r="Y302" i="1" s="1"/>
  <c r="Z302" i="1" s="1"/>
  <c r="U298" i="9"/>
  <c r="S296" i="9"/>
  <c r="P296" i="9" l="1"/>
  <c r="R298" i="9"/>
  <c r="V298" i="9"/>
  <c r="Y298" i="9"/>
  <c r="U297" i="2"/>
  <c r="S295" i="9"/>
  <c r="S294" i="9" s="1"/>
  <c r="S293" i="9" s="1"/>
  <c r="U296" i="9"/>
  <c r="V296" i="9" s="1"/>
  <c r="X301" i="1"/>
  <c r="Y301" i="1" s="1"/>
  <c r="Z301" i="1" s="1"/>
  <c r="V300" i="1"/>
  <c r="V295" i="9" l="1"/>
  <c r="V294" i="9" s="1"/>
  <c r="V293" i="9" s="1"/>
  <c r="Y296" i="9"/>
  <c r="U295" i="9"/>
  <c r="S297" i="2"/>
  <c r="S295" i="2" s="1"/>
  <c r="X298" i="9"/>
  <c r="V299" i="1"/>
  <c r="X300" i="1"/>
  <c r="Y300" i="1" s="1"/>
  <c r="Z300" i="1" s="1"/>
  <c r="U295" i="2"/>
  <c r="W297" i="2"/>
  <c r="R296" i="9"/>
  <c r="P295" i="9"/>
  <c r="P294" i="9" s="1"/>
  <c r="P293" i="9" s="1"/>
  <c r="X296" i="9" l="1"/>
  <c r="R295" i="9"/>
  <c r="X299" i="1"/>
  <c r="Y299" i="1" s="1"/>
  <c r="Z299" i="1" s="1"/>
  <c r="Y295" i="9"/>
  <c r="U294" i="9"/>
  <c r="AA297" i="2"/>
  <c r="X297" i="2"/>
  <c r="U294" i="2"/>
  <c r="W295" i="2"/>
  <c r="Z297" i="2"/>
  <c r="S294" i="2" l="1"/>
  <c r="Z295" i="2"/>
  <c r="AA295" i="2"/>
  <c r="X295" i="2"/>
  <c r="U293" i="2"/>
  <c r="W294" i="2"/>
  <c r="U293" i="9"/>
  <c r="Y293" i="9" s="1"/>
  <c r="Y294" i="9"/>
  <c r="R294" i="9"/>
  <c r="X295" i="9"/>
  <c r="X294" i="2" l="1"/>
  <c r="AA294" i="2"/>
  <c r="X294" i="9"/>
  <c r="R293" i="9"/>
  <c r="U292" i="2"/>
  <c r="W293" i="2"/>
  <c r="S293" i="2"/>
  <c r="Z294" i="2"/>
  <c r="AA293" i="2" l="1"/>
  <c r="X293" i="2"/>
  <c r="S292" i="2"/>
  <c r="Z293" i="2"/>
  <c r="W292" i="2"/>
  <c r="X293" i="9"/>
  <c r="Z292" i="2" l="1"/>
  <c r="X292" i="2"/>
  <c r="AA292" i="2"/>
  <c r="V58" i="1" l="1"/>
  <c r="X58" i="1" l="1"/>
  <c r="Y58" i="1" s="1"/>
  <c r="Z58" i="1" s="1"/>
  <c r="S52" i="9"/>
  <c r="R52" i="9" l="1"/>
  <c r="U52" i="9"/>
  <c r="U51" i="2" l="1"/>
  <c r="W51" i="2" s="1"/>
  <c r="V52" i="9"/>
  <c r="Y52" i="9"/>
  <c r="S51" i="2"/>
  <c r="W52" i="9"/>
  <c r="X52" i="9"/>
  <c r="Z51" i="2" l="1"/>
  <c r="Y51" i="2"/>
  <c r="AA51" i="2"/>
  <c r="X51" i="2"/>
  <c r="X390" i="1" l="1"/>
  <c r="Y390" i="1" s="1"/>
  <c r="V202" i="1"/>
  <c r="X239" i="1" l="1"/>
  <c r="Y239" i="1" s="1"/>
  <c r="Z239" i="1" s="1"/>
  <c r="S233" i="9"/>
  <c r="S198" i="9"/>
  <c r="X202" i="1"/>
  <c r="Y202" i="1" s="1"/>
  <c r="Z202" i="1" s="1"/>
  <c r="V197" i="1"/>
  <c r="S191" i="9" l="1"/>
  <c r="P198" i="9"/>
  <c r="P191" i="9" s="1"/>
  <c r="X197" i="1"/>
  <c r="Y197" i="1" s="1"/>
  <c r="Z197" i="1" s="1"/>
  <c r="U233" i="9"/>
  <c r="V233" i="9" l="1"/>
  <c r="Y233" i="9"/>
  <c r="R191" i="9"/>
  <c r="P190" i="9"/>
  <c r="R190" i="9" s="1"/>
  <c r="R233" i="9"/>
  <c r="U191" i="9"/>
  <c r="S190" i="9"/>
  <c r="U190" i="9" s="1"/>
  <c r="S190" i="2" l="1"/>
  <c r="X191" i="9"/>
  <c r="S232" i="2"/>
  <c r="X233" i="9"/>
  <c r="V191" i="9"/>
  <c r="U190" i="2"/>
  <c r="W190" i="2" s="1"/>
  <c r="Y191" i="9"/>
  <c r="Y190" i="9"/>
  <c r="U189" i="2"/>
  <c r="W189" i="2" s="1"/>
  <c r="S189" i="2"/>
  <c r="X190" i="9"/>
  <c r="V190" i="9" s="1"/>
  <c r="Z189" i="2" l="1"/>
  <c r="AA190" i="2"/>
  <c r="X190" i="2"/>
  <c r="U232" i="2"/>
  <c r="W232" i="2" s="1"/>
  <c r="Z232" i="2" s="1"/>
  <c r="X189" i="2"/>
  <c r="AA189" i="2"/>
  <c r="Z190" i="2"/>
  <c r="X232" i="2" l="1"/>
  <c r="AA232" i="2"/>
  <c r="S99" i="9" l="1"/>
  <c r="X105" i="1"/>
  <c r="Y105" i="1" s="1"/>
  <c r="Z105" i="1" s="1"/>
  <c r="S138" i="9"/>
  <c r="V143" i="1"/>
  <c r="X144" i="1"/>
  <c r="Y144" i="1" s="1"/>
  <c r="Z144" i="1" s="1"/>
  <c r="U138" i="9" l="1"/>
  <c r="S137" i="9"/>
  <c r="S136" i="9" s="1"/>
  <c r="S131" i="9" s="1"/>
  <c r="X143" i="1"/>
  <c r="Y143" i="1" s="1"/>
  <c r="Z143" i="1" s="1"/>
  <c r="V142" i="1"/>
  <c r="U99" i="9"/>
  <c r="U98" i="2" l="1"/>
  <c r="Y99" i="9"/>
  <c r="V99" i="9"/>
  <c r="S130" i="9"/>
  <c r="U130" i="9" s="1"/>
  <c r="U131" i="9"/>
  <c r="R99" i="9"/>
  <c r="Y138" i="9"/>
  <c r="U137" i="9"/>
  <c r="U137" i="2"/>
  <c r="V138" i="9"/>
  <c r="V137" i="9" s="1"/>
  <c r="V136" i="9" s="1"/>
  <c r="X142" i="1"/>
  <c r="Y142" i="1" s="1"/>
  <c r="Z142" i="1" s="1"/>
  <c r="V137" i="1"/>
  <c r="R138" i="9"/>
  <c r="X138" i="9" s="1"/>
  <c r="P137" i="9"/>
  <c r="P136" i="9" s="1"/>
  <c r="P131" i="9" s="1"/>
  <c r="R131" i="9" l="1"/>
  <c r="X131" i="9" s="1"/>
  <c r="P130" i="9"/>
  <c r="R130" i="9" s="1"/>
  <c r="X130" i="9" s="1"/>
  <c r="W138" i="9"/>
  <c r="R137" i="9"/>
  <c r="W137" i="2"/>
  <c r="S137" i="2"/>
  <c r="U136" i="2"/>
  <c r="Y130" i="9"/>
  <c r="V130" i="9"/>
  <c r="V136" i="1"/>
  <c r="X136" i="1" s="1"/>
  <c r="Y136" i="1" s="1"/>
  <c r="Z136" i="1" s="1"/>
  <c r="X137" i="1"/>
  <c r="Y137" i="1" s="1"/>
  <c r="Z137" i="1" s="1"/>
  <c r="U136" i="9"/>
  <c r="Y136" i="9" s="1"/>
  <c r="Y137" i="9"/>
  <c r="Y131" i="9"/>
  <c r="V131" i="9"/>
  <c r="S98" i="2"/>
  <c r="W98" i="2"/>
  <c r="U135" i="2" l="1"/>
  <c r="W136" i="2"/>
  <c r="Z137" i="2"/>
  <c r="S136" i="2"/>
  <c r="Y137" i="2"/>
  <c r="Z98" i="2"/>
  <c r="X137" i="9"/>
  <c r="R136" i="9"/>
  <c r="X136" i="9" s="1"/>
  <c r="X98" i="2"/>
  <c r="AA98" i="2"/>
  <c r="AA137" i="2"/>
  <c r="X137" i="2"/>
  <c r="W135" i="2" l="1"/>
  <c r="X135" i="2" s="1"/>
  <c r="U130" i="2"/>
  <c r="S135" i="2"/>
  <c r="S130" i="2" s="1"/>
  <c r="Z136" i="2"/>
  <c r="Y136" i="2"/>
  <c r="AA136" i="2"/>
  <c r="X136" i="2"/>
  <c r="U129" i="2" l="1"/>
  <c r="W130" i="2"/>
  <c r="AA135" i="2"/>
  <c r="Y135" i="2"/>
  <c r="Z135" i="2"/>
  <c r="S129" i="2" l="1"/>
  <c r="W129" i="2" l="1"/>
  <c r="X129" i="2" l="1"/>
  <c r="AA129" i="2"/>
  <c r="AA130" i="2"/>
  <c r="X130" i="2"/>
  <c r="Z130" i="2"/>
  <c r="Z129" i="2"/>
  <c r="X367" i="1" l="1"/>
  <c r="Y367" i="1" s="1"/>
  <c r="V327" i="1" l="1"/>
  <c r="S327" i="9"/>
  <c r="X333" i="1"/>
  <c r="Y333" i="1" s="1"/>
  <c r="Z333" i="1" s="1"/>
  <c r="S321" i="9" l="1"/>
  <c r="U327" i="9"/>
  <c r="X327" i="1"/>
  <c r="Y327" i="1" s="1"/>
  <c r="Z327" i="1" s="1"/>
  <c r="V326" i="1"/>
  <c r="V325" i="1" s="1"/>
  <c r="V190" i="1"/>
  <c r="V183" i="1" s="1"/>
  <c r="X183" i="1" s="1"/>
  <c r="U326" i="2" l="1"/>
  <c r="V327" i="9"/>
  <c r="Y327" i="9"/>
  <c r="S184" i="9"/>
  <c r="X190" i="1"/>
  <c r="Y190" i="1" s="1"/>
  <c r="Z190" i="1" s="1"/>
  <c r="R327" i="9"/>
  <c r="X327" i="9" s="1"/>
  <c r="P321" i="9"/>
  <c r="X326" i="1"/>
  <c r="Y326" i="1" s="1"/>
  <c r="Z326" i="1" s="1"/>
  <c r="S320" i="9"/>
  <c r="U321" i="9"/>
  <c r="W326" i="2" l="1"/>
  <c r="U320" i="2"/>
  <c r="U184" i="9"/>
  <c r="R184" i="9"/>
  <c r="V321" i="9"/>
  <c r="Y321" i="9"/>
  <c r="P320" i="9"/>
  <c r="R321" i="9"/>
  <c r="X321" i="9" s="1"/>
  <c r="U320" i="9"/>
  <c r="S319" i="9"/>
  <c r="S326" i="2"/>
  <c r="S320" i="2" s="1"/>
  <c r="V324" i="1"/>
  <c r="X325" i="1"/>
  <c r="Y325" i="1" s="1"/>
  <c r="Z325" i="1" s="1"/>
  <c r="S318" i="9" l="1"/>
  <c r="U319" i="9"/>
  <c r="X324" i="1"/>
  <c r="Y324" i="1" s="1"/>
  <c r="Z324" i="1" s="1"/>
  <c r="V297" i="1"/>
  <c r="Y320" i="9"/>
  <c r="V320" i="9"/>
  <c r="U319" i="2"/>
  <c r="W320" i="2"/>
  <c r="S183" i="2"/>
  <c r="X184" i="9"/>
  <c r="W184" i="9" s="1"/>
  <c r="X100" i="1"/>
  <c r="Y100" i="1" s="1"/>
  <c r="Z100" i="1" s="1"/>
  <c r="V99" i="1"/>
  <c r="S94" i="9"/>
  <c r="X326" i="2"/>
  <c r="AA326" i="2"/>
  <c r="Z326" i="2"/>
  <c r="P319" i="9"/>
  <c r="R320" i="9"/>
  <c r="X320" i="9" s="1"/>
  <c r="U183" i="2"/>
  <c r="W183" i="2" s="1"/>
  <c r="Y184" i="9"/>
  <c r="V184" i="9"/>
  <c r="AA183" i="2" l="1"/>
  <c r="X183" i="2"/>
  <c r="Z320" i="2"/>
  <c r="S319" i="2"/>
  <c r="X99" i="1"/>
  <c r="Y99" i="1" s="1"/>
  <c r="Z99" i="1" s="1"/>
  <c r="V98" i="1"/>
  <c r="U318" i="2"/>
  <c r="W319" i="2"/>
  <c r="X297" i="1"/>
  <c r="Y297" i="1" s="1"/>
  <c r="Z297" i="1" s="1"/>
  <c r="V295" i="1"/>
  <c r="X295" i="1" s="1"/>
  <c r="Y295" i="1" s="1"/>
  <c r="Z295" i="1" s="1"/>
  <c r="P318" i="9"/>
  <c r="R319" i="9"/>
  <c r="X319" i="9" s="1"/>
  <c r="Y319" i="9"/>
  <c r="V319" i="9"/>
  <c r="AA320" i="2"/>
  <c r="X320" i="2"/>
  <c r="S93" i="9"/>
  <c r="U94" i="9"/>
  <c r="Y183" i="2"/>
  <c r="Z183" i="2"/>
  <c r="U318" i="9"/>
  <c r="S291" i="9"/>
  <c r="X319" i="2" l="1"/>
  <c r="AA319" i="2"/>
  <c r="S289" i="9"/>
  <c r="U289" i="9" s="1"/>
  <c r="U291" i="9"/>
  <c r="Y94" i="9"/>
  <c r="V94" i="9"/>
  <c r="U93" i="2"/>
  <c r="R318" i="9"/>
  <c r="X318" i="9" s="1"/>
  <c r="P291" i="9"/>
  <c r="U317" i="2"/>
  <c r="U290" i="2" s="1"/>
  <c r="W318" i="2"/>
  <c r="Y318" i="9"/>
  <c r="V318" i="9"/>
  <c r="U93" i="9"/>
  <c r="S92" i="9"/>
  <c r="X98" i="1"/>
  <c r="Y98" i="1" s="1"/>
  <c r="Z98" i="1" s="1"/>
  <c r="V97" i="1"/>
  <c r="Z319" i="2"/>
  <c r="S318" i="2"/>
  <c r="R94" i="9"/>
  <c r="P93" i="9"/>
  <c r="Z318" i="2" l="1"/>
  <c r="S317" i="2"/>
  <c r="S91" i="9"/>
  <c r="U92" i="9"/>
  <c r="AA318" i="2"/>
  <c r="X318" i="2"/>
  <c r="W93" i="2"/>
  <c r="U92" i="2"/>
  <c r="V289" i="9"/>
  <c r="Y289" i="9"/>
  <c r="S93" i="2"/>
  <c r="X94" i="9"/>
  <c r="V93" i="9"/>
  <c r="Y93" i="9"/>
  <c r="W317" i="2"/>
  <c r="V291" i="9"/>
  <c r="Y291" i="9"/>
  <c r="P92" i="9"/>
  <c r="R93" i="9"/>
  <c r="V96" i="1"/>
  <c r="X97" i="1"/>
  <c r="Y97" i="1" s="1"/>
  <c r="Z97" i="1" s="1"/>
  <c r="P289" i="9"/>
  <c r="R289" i="9" s="1"/>
  <c r="X289" i="9" s="1"/>
  <c r="R291" i="9"/>
  <c r="X291" i="9" s="1"/>
  <c r="Z93" i="2" l="1"/>
  <c r="W92" i="2"/>
  <c r="U91" i="2"/>
  <c r="V92" i="9"/>
  <c r="Y92" i="9"/>
  <c r="R92" i="9"/>
  <c r="P91" i="9"/>
  <c r="AA317" i="2"/>
  <c r="X317" i="2"/>
  <c r="X93" i="2"/>
  <c r="AA93" i="2"/>
  <c r="S90" i="9"/>
  <c r="U91" i="9"/>
  <c r="W290" i="2"/>
  <c r="U288" i="2"/>
  <c r="W288" i="2" s="1"/>
  <c r="Z317" i="2"/>
  <c r="S290" i="2"/>
  <c r="X93" i="9"/>
  <c r="S92" i="2"/>
  <c r="X96" i="1"/>
  <c r="Y96" i="1" s="1"/>
  <c r="Z96" i="1" s="1"/>
  <c r="Z92" i="2" l="1"/>
  <c r="S288" i="2"/>
  <c r="Z288" i="2" s="1"/>
  <c r="Z290" i="2"/>
  <c r="U90" i="9"/>
  <c r="V91" i="9"/>
  <c r="Y91" i="9"/>
  <c r="X288" i="2"/>
  <c r="AA288" i="2"/>
  <c r="R91" i="9"/>
  <c r="P90" i="9"/>
  <c r="U90" i="2"/>
  <c r="W91" i="2"/>
  <c r="X290" i="2"/>
  <c r="AA290" i="2"/>
  <c r="S91" i="2"/>
  <c r="X92" i="9"/>
  <c r="AA92" i="2"/>
  <c r="X92" i="2"/>
  <c r="AA91" i="2" l="1"/>
  <c r="X91" i="2"/>
  <c r="Z91" i="2"/>
  <c r="W90" i="2"/>
  <c r="U89" i="2"/>
  <c r="V90" i="9"/>
  <c r="Y90" i="9"/>
  <c r="R90" i="9"/>
  <c r="X90" i="9" s="1"/>
  <c r="S90" i="2"/>
  <c r="X91" i="9"/>
  <c r="X90" i="2" l="1"/>
  <c r="AA90" i="2"/>
  <c r="Z90" i="2"/>
  <c r="S89" i="2"/>
  <c r="W89" i="2"/>
  <c r="Z89" i="2" l="1"/>
  <c r="AA89" i="2"/>
  <c r="X89" i="2"/>
  <c r="R388" i="1"/>
  <c r="Y388" i="1" s="1"/>
  <c r="X386" i="1" l="1"/>
  <c r="Y386" i="1" s="1"/>
  <c r="X380" i="1"/>
  <c r="Y380" i="1" s="1"/>
  <c r="X389" i="1" l="1"/>
  <c r="Y389" i="1" s="1"/>
  <c r="R381" i="1"/>
  <c r="R378" i="1" l="1"/>
  <c r="P395" i="1"/>
  <c r="R395" i="1" l="1"/>
  <c r="V63" i="1" l="1"/>
  <c r="X64" i="1"/>
  <c r="Y64" i="1" s="1"/>
  <c r="Z64" i="1" s="1"/>
  <c r="S58" i="9"/>
  <c r="U58" i="9" l="1"/>
  <c r="S57" i="9"/>
  <c r="U57" i="9" s="1"/>
  <c r="X63" i="1"/>
  <c r="Y63" i="1" s="1"/>
  <c r="Z63" i="1" s="1"/>
  <c r="V62" i="1"/>
  <c r="U56" i="2" l="1"/>
  <c r="W56" i="2" s="1"/>
  <c r="Y57" i="9"/>
  <c r="V57" i="9"/>
  <c r="Y58" i="9"/>
  <c r="U57" i="2"/>
  <c r="W57" i="2" s="1"/>
  <c r="V58" i="9"/>
  <c r="X62" i="1"/>
  <c r="Y62" i="1" s="1"/>
  <c r="Z62" i="1" s="1"/>
  <c r="S56" i="9"/>
  <c r="U56" i="9" s="1"/>
  <c r="P57" i="9"/>
  <c r="R58" i="9"/>
  <c r="X58" i="9" l="1"/>
  <c r="W58" i="9" s="1"/>
  <c r="S57" i="2"/>
  <c r="V56" i="9"/>
  <c r="U55" i="2"/>
  <c r="W55" i="2" s="1"/>
  <c r="Y56" i="9"/>
  <c r="R57" i="9"/>
  <c r="P56" i="9"/>
  <c r="R56" i="9" s="1"/>
  <c r="X57" i="2"/>
  <c r="AA57" i="2"/>
  <c r="X56" i="2"/>
  <c r="AA56" i="2"/>
  <c r="X56" i="9" l="1"/>
  <c r="W56" i="9" s="1"/>
  <c r="S55" i="2"/>
  <c r="X55" i="2"/>
  <c r="AA55" i="2"/>
  <c r="S56" i="2"/>
  <c r="W57" i="9"/>
  <c r="X57" i="9"/>
  <c r="Z57" i="2"/>
  <c r="Y57" i="2"/>
  <c r="Y55" i="2" l="1"/>
  <c r="Z55" i="2"/>
  <c r="Y56" i="2"/>
  <c r="Z56" i="2"/>
  <c r="X278" i="1" l="1"/>
  <c r="Y278" i="1" s="1"/>
  <c r="Z278" i="1" s="1"/>
  <c r="S272" i="9"/>
  <c r="V277" i="1"/>
  <c r="X60" i="1"/>
  <c r="Y60" i="1" s="1"/>
  <c r="Z60" i="1" s="1"/>
  <c r="S54" i="9"/>
  <c r="X277" i="1" l="1"/>
  <c r="Y277" i="1" s="1"/>
  <c r="Z277" i="1" s="1"/>
  <c r="V276" i="1"/>
  <c r="X276" i="1" s="1"/>
  <c r="Y276" i="1" s="1"/>
  <c r="Z276" i="1" s="1"/>
  <c r="S271" i="9"/>
  <c r="U272" i="9"/>
  <c r="U54" i="9"/>
  <c r="R54" i="9"/>
  <c r="U271" i="9" l="1"/>
  <c r="S270" i="9"/>
  <c r="U270" i="9" s="1"/>
  <c r="S53" i="2"/>
  <c r="P271" i="9"/>
  <c r="R272" i="9"/>
  <c r="U53" i="2"/>
  <c r="W53" i="2" s="1"/>
  <c r="Y54" i="9"/>
  <c r="V54" i="9"/>
  <c r="U271" i="2"/>
  <c r="V272" i="9"/>
  <c r="Y272" i="9"/>
  <c r="Z53" i="2" l="1"/>
  <c r="X53" i="2"/>
  <c r="AA53" i="2"/>
  <c r="W271" i="2"/>
  <c r="U270" i="2"/>
  <c r="S271" i="2"/>
  <c r="X272" i="9"/>
  <c r="V270" i="9"/>
  <c r="Y270" i="9"/>
  <c r="P270" i="9"/>
  <c r="R270" i="9" s="1"/>
  <c r="X270" i="9" s="1"/>
  <c r="R271" i="9"/>
  <c r="X271" i="9" s="1"/>
  <c r="V271" i="9"/>
  <c r="Y271" i="9"/>
  <c r="AA271" i="2" l="1"/>
  <c r="X271" i="2"/>
  <c r="U269" i="2"/>
  <c r="W269" i="2" s="1"/>
  <c r="W270" i="2"/>
  <c r="S270" i="2"/>
  <c r="Z271" i="2"/>
  <c r="X383" i="1" l="1"/>
  <c r="Y383" i="1" s="1"/>
  <c r="X269" i="2"/>
  <c r="AA269" i="2"/>
  <c r="X382" i="1"/>
  <c r="Y382" i="1" s="1"/>
  <c r="X270" i="2"/>
  <c r="AA270" i="2"/>
  <c r="S269" i="2"/>
  <c r="Z269" i="2" s="1"/>
  <c r="Y269" i="2" s="1"/>
  <c r="Z270" i="2"/>
  <c r="X365" i="1"/>
  <c r="X372" i="1" l="1"/>
  <c r="Y372" i="1" s="1"/>
  <c r="X366" i="1"/>
  <c r="Y366" i="1" s="1"/>
  <c r="X370" i="1"/>
  <c r="Y370" i="1" s="1"/>
  <c r="X381" i="1" l="1"/>
  <c r="X364" i="1"/>
  <c r="Y364" i="1" s="1"/>
  <c r="Y381" i="1" l="1"/>
  <c r="S236" i="9" l="1"/>
  <c r="X242" i="1"/>
  <c r="Y242" i="1" s="1"/>
  <c r="Z242" i="1" s="1"/>
  <c r="V272" i="1"/>
  <c r="X275" i="1"/>
  <c r="Y275" i="1" s="1"/>
  <c r="Z275" i="1" s="1"/>
  <c r="S269" i="9"/>
  <c r="X272" i="1" l="1"/>
  <c r="Y272" i="1" s="1"/>
  <c r="Z272" i="1" s="1"/>
  <c r="V271" i="1"/>
  <c r="X238" i="1"/>
  <c r="Y238" i="1" s="1"/>
  <c r="Z238" i="1" s="1"/>
  <c r="S266" i="9"/>
  <c r="U269" i="9"/>
  <c r="U236" i="9"/>
  <c r="S232" i="9"/>
  <c r="S231" i="9" s="1"/>
  <c r="S230" i="9" l="1"/>
  <c r="S229" i="9" s="1"/>
  <c r="S209" i="9" s="1"/>
  <c r="U209" i="9" s="1"/>
  <c r="S202" i="9"/>
  <c r="V206" i="1"/>
  <c r="X208" i="1"/>
  <c r="Y208" i="1" s="1"/>
  <c r="Z208" i="1" s="1"/>
  <c r="U268" i="2"/>
  <c r="V269" i="9"/>
  <c r="Y269" i="9"/>
  <c r="S180" i="9"/>
  <c r="X186" i="1"/>
  <c r="Y186" i="1" s="1"/>
  <c r="Z186" i="1" s="1"/>
  <c r="V236" i="9"/>
  <c r="V232" i="9" s="1"/>
  <c r="V231" i="9" s="1"/>
  <c r="V230" i="9" s="1"/>
  <c r="V229" i="9" s="1"/>
  <c r="U235" i="2"/>
  <c r="W235" i="2" s="1"/>
  <c r="Y236" i="9"/>
  <c r="U232" i="9"/>
  <c r="X187" i="1"/>
  <c r="Y187" i="1" s="1"/>
  <c r="Z187" i="1" s="1"/>
  <c r="S181" i="9"/>
  <c r="P266" i="9"/>
  <c r="R269" i="9"/>
  <c r="X269" i="9" s="1"/>
  <c r="X271" i="1"/>
  <c r="Y271" i="1" s="1"/>
  <c r="Z271" i="1" s="1"/>
  <c r="V270" i="1"/>
  <c r="X192" i="1"/>
  <c r="Y192" i="1" s="1"/>
  <c r="Z192" i="1" s="1"/>
  <c r="S186" i="9"/>
  <c r="R236" i="9"/>
  <c r="S265" i="9"/>
  <c r="U266" i="9"/>
  <c r="P231" i="9" l="1"/>
  <c r="P230" i="9" s="1"/>
  <c r="P229" i="9" s="1"/>
  <c r="P209" i="9" s="1"/>
  <c r="R209" i="9" s="1"/>
  <c r="S177" i="9"/>
  <c r="U177" i="9" s="1"/>
  <c r="S166" i="9"/>
  <c r="X172" i="1"/>
  <c r="Y172" i="1" s="1"/>
  <c r="Z172" i="1" s="1"/>
  <c r="V171" i="1"/>
  <c r="X171" i="1" s="1"/>
  <c r="Y171" i="1" s="1"/>
  <c r="Z171" i="1" s="1"/>
  <c r="P265" i="9"/>
  <c r="R266" i="9"/>
  <c r="X266" i="9" s="1"/>
  <c r="W268" i="2"/>
  <c r="U265" i="2"/>
  <c r="S268" i="2"/>
  <c r="V269" i="1"/>
  <c r="X270" i="1"/>
  <c r="Y270" i="1" s="1"/>
  <c r="Z270" i="1" s="1"/>
  <c r="Y232" i="9"/>
  <c r="U231" i="9"/>
  <c r="U230" i="9" s="1"/>
  <c r="V182" i="1"/>
  <c r="Y183" i="1"/>
  <c r="Z183" i="1" s="1"/>
  <c r="Y237" i="1"/>
  <c r="Z237" i="1" s="1"/>
  <c r="X134" i="1"/>
  <c r="Y134" i="1" s="1"/>
  <c r="Z134" i="1" s="1"/>
  <c r="V133" i="1"/>
  <c r="S128" i="9"/>
  <c r="X131" i="1"/>
  <c r="Y131" i="1" s="1"/>
  <c r="Z131" i="1" s="1"/>
  <c r="S125" i="9"/>
  <c r="V129" i="1"/>
  <c r="S235" i="2"/>
  <c r="Z235" i="2" s="1"/>
  <c r="X236" i="9"/>
  <c r="R232" i="9"/>
  <c r="V209" i="9"/>
  <c r="Y209" i="9"/>
  <c r="X206" i="1"/>
  <c r="Y206" i="1" s="1"/>
  <c r="Z206" i="1" s="1"/>
  <c r="V205" i="1"/>
  <c r="S200" i="9"/>
  <c r="U200" i="9" s="1"/>
  <c r="S159" i="9"/>
  <c r="V163" i="1"/>
  <c r="X165" i="1"/>
  <c r="Y165" i="1" s="1"/>
  <c r="Z165" i="1" s="1"/>
  <c r="S264" i="9"/>
  <c r="S263" i="9" s="1"/>
  <c r="S261" i="9" s="1"/>
  <c r="U265" i="9"/>
  <c r="S167" i="9"/>
  <c r="X173" i="1"/>
  <c r="Y173" i="1" s="1"/>
  <c r="Z173" i="1" s="1"/>
  <c r="V126" i="1"/>
  <c r="X127" i="1"/>
  <c r="Y127" i="1" s="1"/>
  <c r="Z127" i="1" s="1"/>
  <c r="S121" i="9"/>
  <c r="V168" i="1"/>
  <c r="X169" i="1"/>
  <c r="Y169" i="1" s="1"/>
  <c r="Z169" i="1" s="1"/>
  <c r="S163" i="9"/>
  <c r="Y266" i="9"/>
  <c r="V266" i="9"/>
  <c r="U186" i="9"/>
  <c r="R186" i="9"/>
  <c r="U181" i="9"/>
  <c r="R181" i="9"/>
  <c r="AA235" i="2"/>
  <c r="X235" i="2"/>
  <c r="U180" i="9"/>
  <c r="U202" i="9"/>
  <c r="P177" i="9" l="1"/>
  <c r="R265" i="9"/>
  <c r="P264" i="9"/>
  <c r="P263" i="9" s="1"/>
  <c r="P261" i="9" s="1"/>
  <c r="S101" i="9"/>
  <c r="X107" i="1"/>
  <c r="Y107" i="1" s="1"/>
  <c r="Z107" i="1" s="1"/>
  <c r="X108" i="1"/>
  <c r="Y108" i="1" s="1"/>
  <c r="Z108" i="1" s="1"/>
  <c r="S102" i="9"/>
  <c r="V112" i="1"/>
  <c r="X113" i="1"/>
  <c r="Y113" i="1" s="1"/>
  <c r="Z113" i="1" s="1"/>
  <c r="S107" i="9"/>
  <c r="S36" i="9"/>
  <c r="R42" i="1"/>
  <c r="Y42" i="1" s="1"/>
  <c r="Z42" i="1" s="1"/>
  <c r="P41" i="1"/>
  <c r="V55" i="1"/>
  <c r="S50" i="9"/>
  <c r="X56" i="1"/>
  <c r="Y56" i="1" s="1"/>
  <c r="Z56" i="1" s="1"/>
  <c r="S110" i="9"/>
  <c r="X116" i="1"/>
  <c r="Y116" i="1" s="1"/>
  <c r="Z116" i="1" s="1"/>
  <c r="X50" i="1"/>
  <c r="Y50" i="1" s="1"/>
  <c r="Z50" i="1" s="1"/>
  <c r="S44" i="9"/>
  <c r="V49" i="1"/>
  <c r="X79" i="1"/>
  <c r="Y79" i="1" s="1"/>
  <c r="Z79" i="1" s="1"/>
  <c r="V78" i="1"/>
  <c r="S73" i="9"/>
  <c r="S176" i="9"/>
  <c r="Y186" i="9"/>
  <c r="U185" i="2"/>
  <c r="W185" i="2" s="1"/>
  <c r="V186" i="9"/>
  <c r="V125" i="1"/>
  <c r="X126" i="1"/>
  <c r="Y126" i="1" s="1"/>
  <c r="Z126" i="1" s="1"/>
  <c r="U261" i="9"/>
  <c r="S207" i="9"/>
  <c r="Y200" i="9"/>
  <c r="V200" i="9"/>
  <c r="U199" i="2"/>
  <c r="W199" i="2" s="1"/>
  <c r="U128" i="9"/>
  <c r="X182" i="1"/>
  <c r="Y182" i="1" s="1"/>
  <c r="Z182" i="1" s="1"/>
  <c r="X269" i="1"/>
  <c r="Y269" i="1" s="1"/>
  <c r="Z269" i="1" s="1"/>
  <c r="V267" i="1"/>
  <c r="X267" i="1" s="1"/>
  <c r="Y267" i="1" s="1"/>
  <c r="Z267" i="1" s="1"/>
  <c r="U264" i="2"/>
  <c r="W265" i="2"/>
  <c r="S51" i="9"/>
  <c r="X57" i="1"/>
  <c r="Y57" i="1" s="1"/>
  <c r="Z57" i="1" s="1"/>
  <c r="U201" i="2"/>
  <c r="W201" i="2" s="1"/>
  <c r="V202" i="9"/>
  <c r="Y202" i="9"/>
  <c r="X186" i="9"/>
  <c r="S185" i="2"/>
  <c r="U163" i="9"/>
  <c r="S162" i="9"/>
  <c r="Y265" i="9"/>
  <c r="U264" i="9"/>
  <c r="V265" i="9"/>
  <c r="V264" i="9" s="1"/>
  <c r="V263" i="9" s="1"/>
  <c r="U159" i="9"/>
  <c r="S157" i="9"/>
  <c r="Y268" i="2"/>
  <c r="S265" i="2"/>
  <c r="U179" i="2"/>
  <c r="V180" i="9"/>
  <c r="Y180" i="9"/>
  <c r="S180" i="2"/>
  <c r="X181" i="9"/>
  <c r="X168" i="1"/>
  <c r="Y168" i="1" s="1"/>
  <c r="Z168" i="1" s="1"/>
  <c r="V167" i="1"/>
  <c r="X167" i="1" s="1"/>
  <c r="Y167" i="1" s="1"/>
  <c r="Z167" i="1" s="1"/>
  <c r="X205" i="1"/>
  <c r="Y205" i="1" s="1"/>
  <c r="Z205" i="1" s="1"/>
  <c r="S199" i="9"/>
  <c r="U199" i="9" s="1"/>
  <c r="V196" i="1"/>
  <c r="X196" i="1" s="1"/>
  <c r="Y196" i="1" s="1"/>
  <c r="Z196" i="1" s="1"/>
  <c r="X129" i="1"/>
  <c r="Y129" i="1" s="1"/>
  <c r="Z129" i="1" s="1"/>
  <c r="V128" i="1"/>
  <c r="X133" i="1"/>
  <c r="Y133" i="1" s="1"/>
  <c r="Z133" i="1" s="1"/>
  <c r="S127" i="9"/>
  <c r="U127" i="9" s="1"/>
  <c r="V132" i="1"/>
  <c r="Y231" i="9"/>
  <c r="AA268" i="2"/>
  <c r="Z268" i="2" s="1"/>
  <c r="X268" i="2"/>
  <c r="V117" i="1"/>
  <c r="X117" i="1" s="1"/>
  <c r="Y117" i="1" s="1"/>
  <c r="Z117" i="1" s="1"/>
  <c r="S112" i="9"/>
  <c r="X118" i="1"/>
  <c r="Y118" i="1" s="1"/>
  <c r="Z118" i="1" s="1"/>
  <c r="X59" i="1"/>
  <c r="Y59" i="1" s="1"/>
  <c r="Z59" i="1" s="1"/>
  <c r="S53" i="9"/>
  <c r="X61" i="1"/>
  <c r="Y61" i="1" s="1"/>
  <c r="Z61" i="1" s="1"/>
  <c r="S55" i="9"/>
  <c r="X106" i="1"/>
  <c r="Y106" i="1" s="1"/>
  <c r="Z106" i="1" s="1"/>
  <c r="S100" i="9"/>
  <c r="V104" i="1"/>
  <c r="X114" i="1"/>
  <c r="Y114" i="1" s="1"/>
  <c r="Z114" i="1" s="1"/>
  <c r="S108" i="9"/>
  <c r="X119" i="1"/>
  <c r="Y119" i="1" s="1"/>
  <c r="Z119" i="1" s="1"/>
  <c r="S113" i="9"/>
  <c r="S109" i="9"/>
  <c r="X115" i="1"/>
  <c r="Y115" i="1" s="1"/>
  <c r="Z115" i="1" s="1"/>
  <c r="R202" i="9"/>
  <c r="P200" i="9"/>
  <c r="R180" i="9"/>
  <c r="Y181" i="9"/>
  <c r="U180" i="2"/>
  <c r="W180" i="2" s="1"/>
  <c r="V181" i="9"/>
  <c r="U121" i="9"/>
  <c r="S120" i="9"/>
  <c r="U167" i="9"/>
  <c r="R167" i="9"/>
  <c r="X163" i="1"/>
  <c r="Y163" i="1" s="1"/>
  <c r="Z163" i="1" s="1"/>
  <c r="V162" i="1"/>
  <c r="R231" i="9"/>
  <c r="R230" i="9" s="1"/>
  <c r="X232" i="9"/>
  <c r="U125" i="9"/>
  <c r="S123" i="9"/>
  <c r="U123" i="9" s="1"/>
  <c r="X209" i="9"/>
  <c r="U166" i="9"/>
  <c r="S165" i="9"/>
  <c r="U165" i="9" s="1"/>
  <c r="U176" i="2" l="1"/>
  <c r="Z185" i="2"/>
  <c r="X180" i="2"/>
  <c r="AA180" i="2"/>
  <c r="V103" i="1"/>
  <c r="X104" i="1"/>
  <c r="Y104" i="1" s="1"/>
  <c r="Z104" i="1" s="1"/>
  <c r="P157" i="9"/>
  <c r="AA201" i="2"/>
  <c r="X201" i="2"/>
  <c r="W264" i="2"/>
  <c r="U263" i="2"/>
  <c r="U127" i="2"/>
  <c r="W127" i="2" s="1"/>
  <c r="Y128" i="9"/>
  <c r="V128" i="9"/>
  <c r="R110" i="9"/>
  <c r="U110" i="9"/>
  <c r="P123" i="9"/>
  <c r="R125" i="9"/>
  <c r="S119" i="9"/>
  <c r="U120" i="9"/>
  <c r="X202" i="9"/>
  <c r="S201" i="2"/>
  <c r="U100" i="9"/>
  <c r="S98" i="9"/>
  <c r="U53" i="9"/>
  <c r="R53" i="9"/>
  <c r="S122" i="9"/>
  <c r="U122" i="9" s="1"/>
  <c r="X128" i="1"/>
  <c r="Y128" i="1" s="1"/>
  <c r="Z128" i="1" s="1"/>
  <c r="Z180" i="2"/>
  <c r="Z265" i="2"/>
  <c r="S264" i="2"/>
  <c r="V159" i="9"/>
  <c r="Y159" i="9"/>
  <c r="U158" i="2"/>
  <c r="S161" i="9"/>
  <c r="U161" i="9" s="1"/>
  <c r="U162" i="9"/>
  <c r="AA199" i="2"/>
  <c r="X199" i="2"/>
  <c r="Y261" i="9"/>
  <c r="V261" i="9"/>
  <c r="V207" i="9" s="1"/>
  <c r="U207" i="9"/>
  <c r="Y207" i="9" s="1"/>
  <c r="X185" i="2"/>
  <c r="AA185" i="2"/>
  <c r="U73" i="9"/>
  <c r="S72" i="9"/>
  <c r="S71" i="9" s="1"/>
  <c r="S43" i="9"/>
  <c r="U44" i="9"/>
  <c r="X112" i="1"/>
  <c r="Y112" i="1" s="1"/>
  <c r="Z112" i="1" s="1"/>
  <c r="V111" i="1"/>
  <c r="U101" i="9"/>
  <c r="R101" i="9"/>
  <c r="P165" i="9"/>
  <c r="R165" i="9" s="1"/>
  <c r="R166" i="9"/>
  <c r="U229" i="9"/>
  <c r="Y230" i="9"/>
  <c r="U229" i="2"/>
  <c r="W229" i="2" s="1"/>
  <c r="Y199" i="9"/>
  <c r="U198" i="2"/>
  <c r="W198" i="2" s="1"/>
  <c r="V199" i="9"/>
  <c r="W179" i="2"/>
  <c r="V177" i="9"/>
  <c r="Y177" i="9"/>
  <c r="X49" i="1"/>
  <c r="Y49" i="1" s="1"/>
  <c r="Z49" i="1" s="1"/>
  <c r="V48" i="1"/>
  <c r="U164" i="2"/>
  <c r="W164" i="2" s="1"/>
  <c r="Y165" i="9"/>
  <c r="S166" i="2"/>
  <c r="X167" i="9"/>
  <c r="Y121" i="9"/>
  <c r="V121" i="9"/>
  <c r="U120" i="2"/>
  <c r="P176" i="9"/>
  <c r="R177" i="9"/>
  <c r="X177" i="9" s="1"/>
  <c r="U108" i="9"/>
  <c r="R108" i="9"/>
  <c r="S126" i="9"/>
  <c r="U126" i="9" s="1"/>
  <c r="X132" i="1"/>
  <c r="Y132" i="1" s="1"/>
  <c r="Z132" i="1" s="1"/>
  <c r="V163" i="9"/>
  <c r="U162" i="2"/>
  <c r="W162" i="2" s="1"/>
  <c r="Y163" i="9"/>
  <c r="R51" i="9"/>
  <c r="U51" i="9"/>
  <c r="V77" i="1"/>
  <c r="X77" i="1" s="1"/>
  <c r="Y77" i="1" s="1"/>
  <c r="Z77" i="1" s="1"/>
  <c r="X78" i="1"/>
  <c r="Y78" i="1" s="1"/>
  <c r="Z78" i="1" s="1"/>
  <c r="U50" i="9"/>
  <c r="S49" i="9"/>
  <c r="S35" i="9"/>
  <c r="U36" i="9"/>
  <c r="R102" i="9"/>
  <c r="U102" i="9"/>
  <c r="R261" i="9"/>
  <c r="P207" i="9"/>
  <c r="Y125" i="9"/>
  <c r="V125" i="9"/>
  <c r="V161" i="1"/>
  <c r="X162" i="1"/>
  <c r="Y162" i="1" s="1"/>
  <c r="Z162" i="1" s="1"/>
  <c r="R121" i="9"/>
  <c r="P120" i="9"/>
  <c r="P199" i="9"/>
  <c r="R199" i="9" s="1"/>
  <c r="R200" i="9"/>
  <c r="U113" i="9"/>
  <c r="R113" i="9"/>
  <c r="S111" i="9"/>
  <c r="U111" i="9" s="1"/>
  <c r="U112" i="9"/>
  <c r="R41" i="1"/>
  <c r="Y41" i="1" s="1"/>
  <c r="Z41" i="1" s="1"/>
  <c r="P40" i="1"/>
  <c r="R40" i="1" s="1"/>
  <c r="Y40" i="1" s="1"/>
  <c r="Z40" i="1" s="1"/>
  <c r="Y166" i="9"/>
  <c r="V166" i="9"/>
  <c r="U165" i="2"/>
  <c r="W165" i="2" s="1"/>
  <c r="U122" i="2"/>
  <c r="W122" i="2" s="1"/>
  <c r="Y123" i="9"/>
  <c r="V123" i="9"/>
  <c r="X231" i="9"/>
  <c r="U166" i="2"/>
  <c r="W166" i="2" s="1"/>
  <c r="Y167" i="9"/>
  <c r="V167" i="9"/>
  <c r="S179" i="2"/>
  <c r="S176" i="2" s="1"/>
  <c r="X180" i="9"/>
  <c r="U109" i="9"/>
  <c r="R109" i="9"/>
  <c r="R55" i="9"/>
  <c r="U55" i="9"/>
  <c r="V127" i="9"/>
  <c r="Y127" i="9"/>
  <c r="U126" i="2"/>
  <c r="W126" i="2" s="1"/>
  <c r="S156" i="9"/>
  <c r="U157" i="9"/>
  <c r="U263" i="9"/>
  <c r="Y263" i="9" s="1"/>
  <c r="Y264" i="9"/>
  <c r="R163" i="9"/>
  <c r="P162" i="9"/>
  <c r="X265" i="2"/>
  <c r="AA265" i="2"/>
  <c r="V181" i="1"/>
  <c r="P127" i="9"/>
  <c r="R128" i="9"/>
  <c r="X125" i="1"/>
  <c r="Y125" i="1" s="1"/>
  <c r="Z125" i="1" s="1"/>
  <c r="V124" i="1"/>
  <c r="U176" i="9"/>
  <c r="S175" i="9"/>
  <c r="X55" i="1"/>
  <c r="Y55" i="1" s="1"/>
  <c r="Z55" i="1" s="1"/>
  <c r="V54" i="1"/>
  <c r="S106" i="9"/>
  <c r="U107" i="9"/>
  <c r="R264" i="9"/>
  <c r="X265" i="9"/>
  <c r="W53" i="9" l="1"/>
  <c r="X126" i="2"/>
  <c r="AA126" i="2"/>
  <c r="AA122" i="2"/>
  <c r="X122" i="2"/>
  <c r="V160" i="1"/>
  <c r="X161" i="1"/>
  <c r="Y161" i="1" s="1"/>
  <c r="Z161" i="1" s="1"/>
  <c r="X198" i="2"/>
  <c r="AA198" i="2"/>
  <c r="U100" i="2"/>
  <c r="W100" i="2" s="1"/>
  <c r="V101" i="9"/>
  <c r="Y101" i="9"/>
  <c r="Y162" i="9"/>
  <c r="V162" i="9"/>
  <c r="U161" i="2"/>
  <c r="W161" i="2" s="1"/>
  <c r="U106" i="2"/>
  <c r="V107" i="9"/>
  <c r="Y107" i="9"/>
  <c r="U175" i="9"/>
  <c r="S174" i="9"/>
  <c r="S127" i="2"/>
  <c r="Z127" i="2" s="1"/>
  <c r="X128" i="9"/>
  <c r="X109" i="9"/>
  <c r="S108" i="2"/>
  <c r="X165" i="2"/>
  <c r="AA165" i="2"/>
  <c r="S112" i="2"/>
  <c r="X113" i="9"/>
  <c r="P119" i="9"/>
  <c r="R120" i="9"/>
  <c r="X120" i="9" s="1"/>
  <c r="V102" i="9"/>
  <c r="U101" i="2"/>
  <c r="W101" i="2" s="1"/>
  <c r="Y102" i="9"/>
  <c r="S48" i="9"/>
  <c r="U49" i="9"/>
  <c r="U125" i="2"/>
  <c r="W125" i="2" s="1"/>
  <c r="Y126" i="9"/>
  <c r="P175" i="9"/>
  <c r="R176" i="9"/>
  <c r="X176" i="9" s="1"/>
  <c r="X48" i="1"/>
  <c r="Y48" i="1" s="1"/>
  <c r="Z48" i="1" s="1"/>
  <c r="V47" i="1"/>
  <c r="W176" i="2"/>
  <c r="U175" i="2"/>
  <c r="S165" i="2"/>
  <c r="X166" i="9"/>
  <c r="V110" i="1"/>
  <c r="X110" i="1" s="1"/>
  <c r="Y110" i="1" s="1"/>
  <c r="Z110" i="1" s="1"/>
  <c r="X111" i="1"/>
  <c r="Y111" i="1" s="1"/>
  <c r="Z111" i="1" s="1"/>
  <c r="S42" i="9"/>
  <c r="U43" i="9"/>
  <c r="Y161" i="9"/>
  <c r="V161" i="9"/>
  <c r="U160" i="2"/>
  <c r="W160" i="2" s="1"/>
  <c r="S263" i="2"/>
  <c r="Z264" i="2"/>
  <c r="U121" i="2"/>
  <c r="W121" i="2" s="1"/>
  <c r="Y122" i="9"/>
  <c r="U99" i="2"/>
  <c r="Y100" i="9"/>
  <c r="V100" i="9"/>
  <c r="V120" i="9"/>
  <c r="Y120" i="9"/>
  <c r="V110" i="9"/>
  <c r="U109" i="2"/>
  <c r="W109" i="2" s="1"/>
  <c r="Y110" i="9"/>
  <c r="AA127" i="2"/>
  <c r="X127" i="2"/>
  <c r="V102" i="1"/>
  <c r="X103" i="1"/>
  <c r="Y103" i="1" s="1"/>
  <c r="Z103" i="1" s="1"/>
  <c r="P106" i="9"/>
  <c r="R107" i="9"/>
  <c r="AA164" i="2"/>
  <c r="X164" i="2"/>
  <c r="U228" i="2"/>
  <c r="Y229" i="9"/>
  <c r="U43" i="2"/>
  <c r="V44" i="9"/>
  <c r="Y44" i="9"/>
  <c r="U72" i="9"/>
  <c r="U72" i="2"/>
  <c r="W72" i="2" s="1"/>
  <c r="V73" i="9"/>
  <c r="Y73" i="9"/>
  <c r="U98" i="9"/>
  <c r="S97" i="9"/>
  <c r="R123" i="9"/>
  <c r="P122" i="9"/>
  <c r="R122" i="9" s="1"/>
  <c r="U106" i="9"/>
  <c r="S105" i="9"/>
  <c r="V176" i="9"/>
  <c r="Y176" i="9"/>
  <c r="P126" i="9"/>
  <c r="R126" i="9" s="1"/>
  <c r="R127" i="9"/>
  <c r="R162" i="9"/>
  <c r="P161" i="9"/>
  <c r="R161" i="9" s="1"/>
  <c r="Y157" i="9"/>
  <c r="V157" i="9"/>
  <c r="V109" i="9"/>
  <c r="U108" i="2"/>
  <c r="W108" i="2" s="1"/>
  <c r="Y109" i="9"/>
  <c r="R112" i="9"/>
  <c r="P111" i="9"/>
  <c r="R111" i="9" s="1"/>
  <c r="Y113" i="9"/>
  <c r="V113" i="9"/>
  <c r="U112" i="2"/>
  <c r="W112" i="2" s="1"/>
  <c r="X121" i="9"/>
  <c r="S120" i="2"/>
  <c r="S101" i="2"/>
  <c r="U49" i="2"/>
  <c r="Y50" i="9"/>
  <c r="V50" i="9"/>
  <c r="X162" i="2"/>
  <c r="AA162" i="2"/>
  <c r="S107" i="2"/>
  <c r="X108" i="9"/>
  <c r="U119" i="2"/>
  <c r="W120" i="2"/>
  <c r="Z166" i="2"/>
  <c r="Y166" i="2"/>
  <c r="X179" i="2"/>
  <c r="AA179" i="2"/>
  <c r="AA229" i="2"/>
  <c r="X229" i="2"/>
  <c r="S164" i="2"/>
  <c r="X165" i="9"/>
  <c r="V165" i="9" s="1"/>
  <c r="R73" i="9"/>
  <c r="P72" i="9"/>
  <c r="P71" i="9" s="1"/>
  <c r="W158" i="2"/>
  <c r="U156" i="2"/>
  <c r="X53" i="9"/>
  <c r="S52" i="2"/>
  <c r="R100" i="9"/>
  <c r="P98" i="9"/>
  <c r="U119" i="9"/>
  <c r="S118" i="9"/>
  <c r="S109" i="2"/>
  <c r="X110" i="9"/>
  <c r="U262" i="2"/>
  <c r="W263" i="2"/>
  <c r="S158" i="2"/>
  <c r="X159" i="9"/>
  <c r="S54" i="2"/>
  <c r="X55" i="9"/>
  <c r="Z179" i="2"/>
  <c r="X230" i="9"/>
  <c r="R229" i="9"/>
  <c r="S229" i="2"/>
  <c r="Z229" i="2" s="1"/>
  <c r="Y111" i="9"/>
  <c r="U110" i="2"/>
  <c r="W110" i="2" s="1"/>
  <c r="S198" i="2"/>
  <c r="Z198" i="2" s="1"/>
  <c r="Y198" i="2" s="1"/>
  <c r="X199" i="9"/>
  <c r="X261" i="9"/>
  <c r="R207" i="9"/>
  <c r="X207" i="9" s="1"/>
  <c r="U35" i="9"/>
  <c r="S34" i="9"/>
  <c r="U34" i="9" s="1"/>
  <c r="X51" i="9"/>
  <c r="S50" i="2"/>
  <c r="R263" i="9"/>
  <c r="X263" i="9" s="1"/>
  <c r="X264" i="9"/>
  <c r="X54" i="1"/>
  <c r="Y54" i="1" s="1"/>
  <c r="Z54" i="1" s="1"/>
  <c r="V53" i="1"/>
  <c r="V123" i="1"/>
  <c r="X124" i="1"/>
  <c r="Y124" i="1" s="1"/>
  <c r="Z124" i="1" s="1"/>
  <c r="V180" i="1"/>
  <c r="X181" i="1"/>
  <c r="Y181" i="1" s="1"/>
  <c r="Z181" i="1" s="1"/>
  <c r="X163" i="9"/>
  <c r="S162" i="2"/>
  <c r="Z162" i="2" s="1"/>
  <c r="U156" i="9"/>
  <c r="S155" i="9"/>
  <c r="V55" i="9"/>
  <c r="Y55" i="9"/>
  <c r="U54" i="2"/>
  <c r="W54" i="2" s="1"/>
  <c r="AA166" i="2"/>
  <c r="X166" i="2"/>
  <c r="Y112" i="9"/>
  <c r="V112" i="9"/>
  <c r="U111" i="2"/>
  <c r="W111" i="2" s="1"/>
  <c r="S199" i="2"/>
  <c r="X200" i="9"/>
  <c r="V36" i="9"/>
  <c r="Y36" i="9"/>
  <c r="W36" i="9"/>
  <c r="P49" i="9"/>
  <c r="R50" i="9"/>
  <c r="X50" i="9" s="1"/>
  <c r="U50" i="2"/>
  <c r="W50" i="2" s="1"/>
  <c r="Y51" i="9"/>
  <c r="V51" i="9"/>
  <c r="U107" i="2"/>
  <c r="W107" i="2" s="1"/>
  <c r="V108" i="9"/>
  <c r="Y108" i="9"/>
  <c r="S100" i="2"/>
  <c r="X101" i="9"/>
  <c r="P43" i="9"/>
  <c r="R44" i="9"/>
  <c r="U52" i="2"/>
  <c r="W52" i="2" s="1"/>
  <c r="V53" i="9"/>
  <c r="Y53" i="9"/>
  <c r="Y201" i="2"/>
  <c r="Z201" i="2"/>
  <c r="X125" i="9"/>
  <c r="X264" i="2"/>
  <c r="AA264" i="2"/>
  <c r="R157" i="9"/>
  <c r="X157" i="9" s="1"/>
  <c r="P156" i="9"/>
  <c r="Z109" i="2" l="1"/>
  <c r="Z100" i="2"/>
  <c r="Z101" i="2"/>
  <c r="S49" i="2"/>
  <c r="Y156" i="9"/>
  <c r="V156" i="9"/>
  <c r="V178" i="1"/>
  <c r="X178" i="1" s="1"/>
  <c r="Y178" i="1" s="1"/>
  <c r="Z178" i="1" s="1"/>
  <c r="X180" i="1"/>
  <c r="Y180" i="1" s="1"/>
  <c r="Z180" i="1" s="1"/>
  <c r="Z54" i="2"/>
  <c r="W262" i="2"/>
  <c r="U260" i="2"/>
  <c r="W260" i="2" s="1"/>
  <c r="V119" i="9"/>
  <c r="Y119" i="9"/>
  <c r="S72" i="2"/>
  <c r="Z72" i="2" s="1"/>
  <c r="X73" i="9"/>
  <c r="R72" i="9"/>
  <c r="Z107" i="2"/>
  <c r="Z120" i="2"/>
  <c r="S119" i="2"/>
  <c r="AA108" i="2"/>
  <c r="X108" i="2"/>
  <c r="S121" i="2"/>
  <c r="X122" i="9"/>
  <c r="V122" i="9"/>
  <c r="W228" i="2"/>
  <c r="U208" i="2"/>
  <c r="R106" i="9"/>
  <c r="X106" i="9" s="1"/>
  <c r="P105" i="9"/>
  <c r="W99" i="2"/>
  <c r="U97" i="2"/>
  <c r="S262" i="2"/>
  <c r="Z263" i="2"/>
  <c r="Y43" i="9"/>
  <c r="V43" i="9"/>
  <c r="V46" i="1"/>
  <c r="X47" i="1"/>
  <c r="Y47" i="1" s="1"/>
  <c r="Z47" i="1" s="1"/>
  <c r="R119" i="9"/>
  <c r="X119" i="9" s="1"/>
  <c r="P118" i="9"/>
  <c r="AA52" i="2"/>
  <c r="X52" i="2"/>
  <c r="P48" i="9"/>
  <c r="R49" i="9"/>
  <c r="X49" i="9" s="1"/>
  <c r="V34" i="9"/>
  <c r="Y34" i="9"/>
  <c r="W34" i="9"/>
  <c r="R98" i="9"/>
  <c r="P97" i="9"/>
  <c r="U155" i="2"/>
  <c r="W156" i="2"/>
  <c r="X120" i="2"/>
  <c r="AA120" i="2"/>
  <c r="U48" i="2"/>
  <c r="W49" i="2"/>
  <c r="X111" i="9"/>
  <c r="V111" i="9" s="1"/>
  <c r="S110" i="2"/>
  <c r="Z110" i="2" s="1"/>
  <c r="X162" i="9"/>
  <c r="S161" i="2"/>
  <c r="Z161" i="2" s="1"/>
  <c r="X123" i="9"/>
  <c r="S122" i="2"/>
  <c r="AA160" i="2"/>
  <c r="X160" i="2"/>
  <c r="S41" i="9"/>
  <c r="U42" i="9"/>
  <c r="Z165" i="2"/>
  <c r="Y165" i="2"/>
  <c r="X125" i="2"/>
  <c r="AA125" i="2"/>
  <c r="X101" i="2"/>
  <c r="AA101" i="2"/>
  <c r="Z108" i="2"/>
  <c r="S172" i="9"/>
  <c r="U172" i="9" s="1"/>
  <c r="U174" i="9"/>
  <c r="U105" i="2"/>
  <c r="W106" i="2"/>
  <c r="X54" i="2"/>
  <c r="AA54" i="2"/>
  <c r="S175" i="2"/>
  <c r="Z176" i="2"/>
  <c r="S43" i="2"/>
  <c r="X44" i="9"/>
  <c r="Z199" i="2"/>
  <c r="Y199" i="2"/>
  <c r="V121" i="1"/>
  <c r="X121" i="1" s="1"/>
  <c r="Y121" i="1" s="1"/>
  <c r="Z121" i="1" s="1"/>
  <c r="X123" i="1"/>
  <c r="Y123" i="1" s="1"/>
  <c r="Z123" i="1" s="1"/>
  <c r="V35" i="9"/>
  <c r="Y35" i="9"/>
  <c r="W35" i="9"/>
  <c r="X229" i="9"/>
  <c r="S228" i="2"/>
  <c r="S208" i="2" s="1"/>
  <c r="Z158" i="2"/>
  <c r="S156" i="2"/>
  <c r="X100" i="9"/>
  <c r="S99" i="2"/>
  <c r="AA158" i="2"/>
  <c r="X158" i="2"/>
  <c r="Z164" i="2"/>
  <c r="Y164" i="2"/>
  <c r="W119" i="2"/>
  <c r="U118" i="2"/>
  <c r="X112" i="2"/>
  <c r="AA112" i="2"/>
  <c r="S111" i="2"/>
  <c r="Z111" i="2" s="1"/>
  <c r="X112" i="9"/>
  <c r="S126" i="2"/>
  <c r="Z126" i="2" s="1"/>
  <c r="X127" i="9"/>
  <c r="U105" i="9"/>
  <c r="S104" i="9"/>
  <c r="U104" i="9" s="1"/>
  <c r="Y104" i="9" s="1"/>
  <c r="U97" i="9"/>
  <c r="S96" i="9"/>
  <c r="X72" i="2"/>
  <c r="AA72" i="2"/>
  <c r="U42" i="2"/>
  <c r="W43" i="2"/>
  <c r="X102" i="1"/>
  <c r="Y102" i="1" s="1"/>
  <c r="Z102" i="1" s="1"/>
  <c r="V94" i="1"/>
  <c r="X94" i="1" s="1"/>
  <c r="Y94" i="1" s="1"/>
  <c r="Z94" i="1" s="1"/>
  <c r="X109" i="2"/>
  <c r="AA109" i="2"/>
  <c r="AA121" i="2"/>
  <c r="X121" i="2"/>
  <c r="W175" i="2"/>
  <c r="U174" i="2"/>
  <c r="Y49" i="9"/>
  <c r="V49" i="9"/>
  <c r="Z112" i="2"/>
  <c r="V175" i="9"/>
  <c r="Y175" i="9"/>
  <c r="AA161" i="2"/>
  <c r="X161" i="2"/>
  <c r="AA107" i="2"/>
  <c r="X107" i="2"/>
  <c r="S160" i="2"/>
  <c r="Z160" i="2" s="1"/>
  <c r="X161" i="9"/>
  <c r="R156" i="9"/>
  <c r="X156" i="9" s="1"/>
  <c r="P155" i="9"/>
  <c r="R43" i="9"/>
  <c r="X43" i="9" s="1"/>
  <c r="P42" i="9"/>
  <c r="X50" i="2"/>
  <c r="AA50" i="2"/>
  <c r="AA111" i="2"/>
  <c r="X111" i="2"/>
  <c r="S154" i="9"/>
  <c r="U155" i="9"/>
  <c r="X53" i="1"/>
  <c r="Y53" i="1" s="1"/>
  <c r="Z53" i="1" s="1"/>
  <c r="V52" i="1"/>
  <c r="X52" i="1" s="1"/>
  <c r="Y52" i="1" s="1"/>
  <c r="Z52" i="1" s="1"/>
  <c r="Z50" i="2"/>
  <c r="AA110" i="2"/>
  <c r="X110" i="2"/>
  <c r="X263" i="2"/>
  <c r="AA263" i="2"/>
  <c r="U118" i="9"/>
  <c r="S117" i="9"/>
  <c r="Z52" i="2"/>
  <c r="S125" i="2"/>
  <c r="Z125" i="2" s="1"/>
  <c r="X126" i="9"/>
  <c r="V126" i="9" s="1"/>
  <c r="V106" i="9"/>
  <c r="Y106" i="9"/>
  <c r="Y98" i="9"/>
  <c r="V98" i="9"/>
  <c r="V72" i="9"/>
  <c r="Y72" i="9"/>
  <c r="U71" i="2"/>
  <c r="W71" i="2" s="1"/>
  <c r="U71" i="9"/>
  <c r="S106" i="2"/>
  <c r="X107" i="9"/>
  <c r="AA176" i="2"/>
  <c r="X176" i="2"/>
  <c r="P174" i="9"/>
  <c r="R175" i="9"/>
  <c r="X175" i="9" s="1"/>
  <c r="S47" i="9"/>
  <c r="U48" i="9"/>
  <c r="X100" i="2"/>
  <c r="AA100" i="2"/>
  <c r="V158" i="1"/>
  <c r="X160" i="1"/>
  <c r="Y160" i="1" s="1"/>
  <c r="Z160" i="1" s="1"/>
  <c r="Y48" i="9" l="1"/>
  <c r="V48" i="9"/>
  <c r="Y155" i="9"/>
  <c r="V155" i="9"/>
  <c r="V105" i="9"/>
  <c r="Y105" i="9"/>
  <c r="U41" i="9"/>
  <c r="S40" i="9"/>
  <c r="R118" i="9"/>
  <c r="X118" i="9" s="1"/>
  <c r="P117" i="9"/>
  <c r="W97" i="2"/>
  <c r="U96" i="2"/>
  <c r="Z121" i="2"/>
  <c r="Y121" i="2"/>
  <c r="AA262" i="2"/>
  <c r="X262" i="2"/>
  <c r="X158" i="1"/>
  <c r="Y158" i="1" s="1"/>
  <c r="Z158" i="1" s="1"/>
  <c r="V156" i="1"/>
  <c r="X156" i="1" s="1"/>
  <c r="Y156" i="1" s="1"/>
  <c r="Z156" i="1" s="1"/>
  <c r="U47" i="9"/>
  <c r="S46" i="9"/>
  <c r="U46" i="9" s="1"/>
  <c r="X71" i="2"/>
  <c r="AA71" i="2"/>
  <c r="U154" i="9"/>
  <c r="S152" i="9"/>
  <c r="W174" i="2"/>
  <c r="U173" i="2"/>
  <c r="X43" i="2"/>
  <c r="AA43" i="2"/>
  <c r="U96" i="9"/>
  <c r="S88" i="9"/>
  <c r="U88" i="9" s="1"/>
  <c r="Z99" i="2"/>
  <c r="S97" i="2"/>
  <c r="Z228" i="2"/>
  <c r="Z175" i="2"/>
  <c r="S174" i="2"/>
  <c r="W105" i="2"/>
  <c r="U104" i="2"/>
  <c r="X49" i="2"/>
  <c r="AA49" i="2"/>
  <c r="X156" i="2"/>
  <c r="AA156" i="2"/>
  <c r="P47" i="9"/>
  <c r="R48" i="9"/>
  <c r="X48" i="9" s="1"/>
  <c r="X99" i="2"/>
  <c r="AA99" i="2"/>
  <c r="X228" i="2"/>
  <c r="AA228" i="2"/>
  <c r="X119" i="2"/>
  <c r="AA119" i="2"/>
  <c r="AA106" i="2"/>
  <c r="X106" i="2"/>
  <c r="W208" i="2"/>
  <c r="U206" i="2"/>
  <c r="P41" i="9"/>
  <c r="R42" i="9"/>
  <c r="X42" i="9" s="1"/>
  <c r="AA175" i="2"/>
  <c r="X175" i="2"/>
  <c r="W42" i="2"/>
  <c r="U41" i="2"/>
  <c r="Y97" i="9"/>
  <c r="V97" i="9"/>
  <c r="V174" i="9"/>
  <c r="Y174" i="9"/>
  <c r="W48" i="2"/>
  <c r="U47" i="2"/>
  <c r="U154" i="2"/>
  <c r="W155" i="2"/>
  <c r="P104" i="9"/>
  <c r="R104" i="9" s="1"/>
  <c r="X104" i="9" s="1"/>
  <c r="V104" i="9" s="1"/>
  <c r="R105" i="9"/>
  <c r="X105" i="9" s="1"/>
  <c r="X72" i="9"/>
  <c r="R71" i="9"/>
  <c r="S71" i="2"/>
  <c r="Z71" i="2" s="1"/>
  <c r="Z49" i="2"/>
  <c r="S48" i="2"/>
  <c r="U70" i="2"/>
  <c r="W70" i="2" s="1"/>
  <c r="V71" i="9"/>
  <c r="Y71" i="9"/>
  <c r="Y118" i="9"/>
  <c r="V118" i="9"/>
  <c r="P154" i="9"/>
  <c r="R155" i="9"/>
  <c r="X155" i="9" s="1"/>
  <c r="R174" i="9"/>
  <c r="X174" i="9" s="1"/>
  <c r="P172" i="9"/>
  <c r="R172" i="9" s="1"/>
  <c r="X172" i="9" s="1"/>
  <c r="Z106" i="2"/>
  <c r="S105" i="2"/>
  <c r="U117" i="9"/>
  <c r="S115" i="9"/>
  <c r="W118" i="2"/>
  <c r="U117" i="2"/>
  <c r="Z156" i="2"/>
  <c r="S155" i="2"/>
  <c r="Z43" i="2"/>
  <c r="S42" i="2"/>
  <c r="Y172" i="9"/>
  <c r="V172" i="9"/>
  <c r="Y42" i="9"/>
  <c r="V42" i="9"/>
  <c r="Y122" i="2"/>
  <c r="Z122" i="2"/>
  <c r="P96" i="9"/>
  <c r="R97" i="9"/>
  <c r="X46" i="1"/>
  <c r="Y46" i="1" s="1"/>
  <c r="Z46" i="1" s="1"/>
  <c r="Z262" i="2"/>
  <c r="S260" i="2"/>
  <c r="Z260" i="2" s="1"/>
  <c r="S118" i="2"/>
  <c r="Z119" i="2"/>
  <c r="X260" i="2"/>
  <c r="AA260" i="2"/>
  <c r="Z155" i="2" l="1"/>
  <c r="S154" i="2"/>
  <c r="AA70" i="2"/>
  <c r="X70" i="2"/>
  <c r="X71" i="9"/>
  <c r="S70" i="2"/>
  <c r="Z70" i="2" s="1"/>
  <c r="W41" i="2"/>
  <c r="U40" i="2"/>
  <c r="S173" i="2"/>
  <c r="Z174" i="2"/>
  <c r="Z97" i="2"/>
  <c r="S96" i="2"/>
  <c r="U152" i="9"/>
  <c r="S150" i="9"/>
  <c r="Y46" i="9"/>
  <c r="V46" i="9"/>
  <c r="U95" i="2"/>
  <c r="W96" i="2"/>
  <c r="U40" i="9"/>
  <c r="S117" i="2"/>
  <c r="Z118" i="2"/>
  <c r="Y117" i="9"/>
  <c r="V117" i="9"/>
  <c r="V115" i="9" s="1"/>
  <c r="U115" i="9"/>
  <c r="Y115" i="9" s="1"/>
  <c r="S47" i="2"/>
  <c r="Z48" i="2"/>
  <c r="W154" i="2"/>
  <c r="U153" i="2"/>
  <c r="X42" i="2"/>
  <c r="AA42" i="2"/>
  <c r="R41" i="9"/>
  <c r="X41" i="9" s="1"/>
  <c r="P40" i="9"/>
  <c r="R47" i="9"/>
  <c r="X47" i="9" s="1"/>
  <c r="P46" i="9"/>
  <c r="R46" i="9" s="1"/>
  <c r="X46" i="9" s="1"/>
  <c r="Y154" i="9"/>
  <c r="V154" i="9"/>
  <c r="Y47" i="9"/>
  <c r="V47" i="9"/>
  <c r="AA97" i="2"/>
  <c r="X97" i="2"/>
  <c r="V41" i="9"/>
  <c r="Y41" i="9"/>
  <c r="AA155" i="2"/>
  <c r="X155" i="2"/>
  <c r="Z42" i="2"/>
  <c r="S41" i="2"/>
  <c r="W117" i="2"/>
  <c r="U116" i="2"/>
  <c r="Z105" i="2"/>
  <c r="S104" i="2"/>
  <c r="W47" i="2"/>
  <c r="U46" i="2"/>
  <c r="W104" i="2"/>
  <c r="U103" i="2"/>
  <c r="W103" i="2" s="1"/>
  <c r="Y88" i="9"/>
  <c r="V88" i="9"/>
  <c r="U171" i="2"/>
  <c r="W171" i="2" s="1"/>
  <c r="W173" i="2"/>
  <c r="P115" i="9"/>
  <c r="R117" i="9"/>
  <c r="R96" i="9"/>
  <c r="P88" i="9"/>
  <c r="R88" i="9" s="1"/>
  <c r="X88" i="9" s="1"/>
  <c r="X118" i="2"/>
  <c r="AA118" i="2"/>
  <c r="R154" i="9"/>
  <c r="X154" i="9" s="1"/>
  <c r="P152" i="9"/>
  <c r="AA48" i="2"/>
  <c r="X48" i="2"/>
  <c r="X208" i="2"/>
  <c r="AA208" i="2"/>
  <c r="W206" i="2"/>
  <c r="AA105" i="2"/>
  <c r="X105" i="2"/>
  <c r="S206" i="2"/>
  <c r="Z208" i="2"/>
  <c r="Y96" i="9"/>
  <c r="V96" i="9"/>
  <c r="X174" i="2"/>
  <c r="AA174" i="2"/>
  <c r="AA154" i="2" l="1"/>
  <c r="X154" i="2"/>
  <c r="S95" i="2"/>
  <c r="Z96" i="2"/>
  <c r="Z206" i="2"/>
  <c r="R152" i="9"/>
  <c r="P150" i="9"/>
  <c r="AA173" i="2"/>
  <c r="X173" i="2"/>
  <c r="X103" i="2"/>
  <c r="AA103" i="2"/>
  <c r="S103" i="2"/>
  <c r="Z103" i="2" s="1"/>
  <c r="Z104" i="2"/>
  <c r="Z41" i="2"/>
  <c r="S40" i="2"/>
  <c r="V40" i="9"/>
  <c r="Y40" i="9"/>
  <c r="AA41" i="2"/>
  <c r="X41" i="2"/>
  <c r="AA47" i="2"/>
  <c r="X47" i="2"/>
  <c r="X171" i="2"/>
  <c r="AA171" i="2"/>
  <c r="X104" i="2"/>
  <c r="AA104" i="2"/>
  <c r="S46" i="2"/>
  <c r="Z47" i="2"/>
  <c r="AA96" i="2"/>
  <c r="X96" i="2"/>
  <c r="Z154" i="2"/>
  <c r="S153" i="2"/>
  <c r="X206" i="2"/>
  <c r="AA206" i="2"/>
  <c r="AA117" i="2"/>
  <c r="X117" i="2"/>
  <c r="U39" i="2"/>
  <c r="W40" i="2"/>
  <c r="X117" i="9"/>
  <c r="R115" i="9"/>
  <c r="X115" i="9" s="1"/>
  <c r="W46" i="2"/>
  <c r="U45" i="2"/>
  <c r="W45" i="2" s="1"/>
  <c r="W116" i="2"/>
  <c r="U114" i="2"/>
  <c r="R40" i="9"/>
  <c r="W153" i="2"/>
  <c r="U151" i="2"/>
  <c r="S116" i="2"/>
  <c r="Z117" i="2"/>
  <c r="W95" i="2"/>
  <c r="U87" i="2"/>
  <c r="W87" i="2" s="1"/>
  <c r="U150" i="9"/>
  <c r="Y150" i="9" s="1"/>
  <c r="Y152" i="9"/>
  <c r="V152" i="9"/>
  <c r="V150" i="9" s="1"/>
  <c r="Z173" i="2"/>
  <c r="S171" i="2"/>
  <c r="Z171" i="2" s="1"/>
  <c r="Z153" i="2" l="1"/>
  <c r="S151" i="2"/>
  <c r="X95" i="2"/>
  <c r="AA95" i="2"/>
  <c r="AA153" i="2"/>
  <c r="X153" i="2"/>
  <c r="W114" i="2"/>
  <c r="X116" i="2"/>
  <c r="AA116" i="2"/>
  <c r="Z46" i="2"/>
  <c r="S45" i="2"/>
  <c r="Z45" i="2" s="1"/>
  <c r="Z40" i="2"/>
  <c r="S39" i="2"/>
  <c r="Z95" i="2"/>
  <c r="S87" i="2"/>
  <c r="Z87" i="2" s="1"/>
  <c r="X87" i="2"/>
  <c r="AA87" i="2"/>
  <c r="U149" i="2"/>
  <c r="W149" i="2" s="1"/>
  <c r="W151" i="2"/>
  <c r="X45" i="2"/>
  <c r="AA45" i="2"/>
  <c r="AA40" i="2"/>
  <c r="X40" i="2"/>
  <c r="R150" i="9"/>
  <c r="X150" i="9" s="1"/>
  <c r="X152" i="9"/>
  <c r="S114" i="2"/>
  <c r="Z116" i="2"/>
  <c r="X40" i="9"/>
  <c r="X46" i="2"/>
  <c r="AA46" i="2"/>
  <c r="W39" i="2"/>
  <c r="Z114" i="2" l="1"/>
  <c r="X151" i="2"/>
  <c r="AA151" i="2"/>
  <c r="X114" i="2"/>
  <c r="AA114" i="2"/>
  <c r="X149" i="2"/>
  <c r="AA149" i="2"/>
  <c r="S149" i="2"/>
  <c r="Z149" i="2" s="1"/>
  <c r="Z151" i="2"/>
  <c r="AA39" i="2"/>
  <c r="X39" i="2"/>
  <c r="Z39" i="2"/>
  <c r="R365" i="1" l="1"/>
  <c r="Y365" i="1" s="1"/>
  <c r="X362" i="1" l="1"/>
  <c r="X376" i="1" s="1"/>
  <c r="R362" i="1" l="1"/>
  <c r="P376" i="1"/>
  <c r="R376" i="1" l="1"/>
  <c r="Y362" i="1"/>
  <c r="Y376" i="1" s="1"/>
  <c r="V69" i="1" l="1"/>
  <c r="S64" i="9"/>
  <c r="X70" i="1"/>
  <c r="Y70" i="1" s="1"/>
  <c r="Z70" i="1" s="1"/>
  <c r="R33" i="1"/>
  <c r="Y33" i="1" s="1"/>
  <c r="Z33" i="1" s="1"/>
  <c r="S27" i="9"/>
  <c r="U27" i="9" s="1"/>
  <c r="S33" i="9"/>
  <c r="U33" i="9" s="1"/>
  <c r="R39" i="1"/>
  <c r="Y39" i="1" s="1"/>
  <c r="Z39" i="1" s="1"/>
  <c r="S30" i="9"/>
  <c r="U30" i="9" s="1"/>
  <c r="R36" i="1"/>
  <c r="Y36" i="1" s="1"/>
  <c r="Z36" i="1" s="1"/>
  <c r="S70" i="9"/>
  <c r="X76" i="1"/>
  <c r="Y76" i="1" s="1"/>
  <c r="Z76" i="1" s="1"/>
  <c r="V75" i="1"/>
  <c r="R38" i="1"/>
  <c r="Y38" i="1" s="1"/>
  <c r="Z38" i="1" s="1"/>
  <c r="S32" i="9"/>
  <c r="U32" i="9" s="1"/>
  <c r="S26" i="9"/>
  <c r="U26" i="9" s="1"/>
  <c r="R32" i="1"/>
  <c r="Y32" i="1" s="1"/>
  <c r="Z32" i="1" s="1"/>
  <c r="S28" i="9"/>
  <c r="U28" i="9" s="1"/>
  <c r="W28" i="9" s="1"/>
  <c r="R34" i="1"/>
  <c r="Y34" i="1" s="1"/>
  <c r="Z34" i="1" s="1"/>
  <c r="R35" i="1"/>
  <c r="Y35" i="1" s="1"/>
  <c r="Z35" i="1" s="1"/>
  <c r="S29" i="9"/>
  <c r="U29" i="9" s="1"/>
  <c r="Y29" i="9" l="1"/>
  <c r="V29" i="9"/>
  <c r="T28" i="2"/>
  <c r="W28" i="2" s="1"/>
  <c r="W29" i="9"/>
  <c r="W30" i="9"/>
  <c r="V30" i="9"/>
  <c r="Y30" i="9"/>
  <c r="T29" i="2"/>
  <c r="W29" i="2" s="1"/>
  <c r="R30" i="1"/>
  <c r="Y30" i="1" s="1"/>
  <c r="Z30" i="1" s="1"/>
  <c r="S24" i="9"/>
  <c r="V26" i="9"/>
  <c r="T25" i="2"/>
  <c r="W25" i="2" s="1"/>
  <c r="W26" i="9"/>
  <c r="Y26" i="9"/>
  <c r="V74" i="1"/>
  <c r="X75" i="1"/>
  <c r="Y75" i="1" s="1"/>
  <c r="Z75" i="1" s="1"/>
  <c r="Y32" i="9"/>
  <c r="V32" i="9"/>
  <c r="W32" i="9"/>
  <c r="T31" i="2"/>
  <c r="W31" i="2" s="1"/>
  <c r="U70" i="9"/>
  <c r="S69" i="9"/>
  <c r="S68" i="9" s="1"/>
  <c r="S67" i="9" s="1"/>
  <c r="S66" i="9" s="1"/>
  <c r="W33" i="9"/>
  <c r="V33" i="9"/>
  <c r="T32" i="2"/>
  <c r="W32" i="2" s="1"/>
  <c r="Y33" i="9"/>
  <c r="S63" i="9"/>
  <c r="U64" i="9"/>
  <c r="T27" i="2"/>
  <c r="W27" i="2" s="1"/>
  <c r="V28" i="9"/>
  <c r="Y28" i="9"/>
  <c r="W27" i="9"/>
  <c r="Y27" i="9"/>
  <c r="T26" i="2"/>
  <c r="W26" i="2" s="1"/>
  <c r="V27" i="9"/>
  <c r="X69" i="1"/>
  <c r="Y69" i="1" s="1"/>
  <c r="Z69" i="1" s="1"/>
  <c r="V68" i="1"/>
  <c r="Y27" i="2" l="1"/>
  <c r="AA27" i="2"/>
  <c r="X27" i="2"/>
  <c r="R70" i="9"/>
  <c r="P69" i="9"/>
  <c r="P68" i="9" s="1"/>
  <c r="P67" i="9" s="1"/>
  <c r="P66" i="9" s="1"/>
  <c r="X74" i="1"/>
  <c r="Y74" i="1" s="1"/>
  <c r="Z74" i="1" s="1"/>
  <c r="V73" i="1"/>
  <c r="P63" i="9"/>
  <c r="R64" i="9"/>
  <c r="Y32" i="2"/>
  <c r="AA32" i="2"/>
  <c r="X32" i="2"/>
  <c r="X28" i="2"/>
  <c r="AA28" i="2"/>
  <c r="Y28" i="2"/>
  <c r="Y26" i="2"/>
  <c r="X26" i="2" s="1"/>
  <c r="AA26" i="2"/>
  <c r="U63" i="2"/>
  <c r="V64" i="9"/>
  <c r="Y64" i="9"/>
  <c r="U69" i="9"/>
  <c r="U69" i="2"/>
  <c r="V70" i="9"/>
  <c r="Y70" i="9"/>
  <c r="U24" i="9"/>
  <c r="Y29" i="2"/>
  <c r="AA29" i="2"/>
  <c r="X29" i="2"/>
  <c r="X68" i="1"/>
  <c r="Y68" i="1" s="1"/>
  <c r="Z68" i="1" s="1"/>
  <c r="V67" i="1"/>
  <c r="U63" i="9"/>
  <c r="S62" i="9"/>
  <c r="Y31" i="2"/>
  <c r="X31" i="2"/>
  <c r="AA31" i="2"/>
  <c r="X25" i="2"/>
  <c r="AA25" i="2"/>
  <c r="Y25" i="2"/>
  <c r="V63" i="9" l="1"/>
  <c r="Y63" i="9"/>
  <c r="V66" i="1"/>
  <c r="X67" i="1"/>
  <c r="Y67" i="1" s="1"/>
  <c r="Z67" i="1" s="1"/>
  <c r="V72" i="1"/>
  <c r="X72" i="1" s="1"/>
  <c r="Y72" i="1" s="1"/>
  <c r="Z72" i="1" s="1"/>
  <c r="X73" i="1"/>
  <c r="Y73" i="1" s="1"/>
  <c r="Z73" i="1" s="1"/>
  <c r="P62" i="9"/>
  <c r="R63" i="9"/>
  <c r="U68" i="2"/>
  <c r="W69" i="2"/>
  <c r="U62" i="2"/>
  <c r="W63" i="2"/>
  <c r="S25" i="9"/>
  <c r="R31" i="1"/>
  <c r="Y31" i="1" s="1"/>
  <c r="Z31" i="1" s="1"/>
  <c r="X70" i="9"/>
  <c r="S69" i="2"/>
  <c r="R69" i="9"/>
  <c r="U62" i="9"/>
  <c r="S61" i="9"/>
  <c r="V24" i="9"/>
  <c r="Y24" i="9"/>
  <c r="T23" i="2"/>
  <c r="W24" i="9"/>
  <c r="Y69" i="9"/>
  <c r="U68" i="9"/>
  <c r="V69" i="9"/>
  <c r="S63" i="2"/>
  <c r="X64" i="9"/>
  <c r="Z63" i="2" l="1"/>
  <c r="W23" i="2"/>
  <c r="V62" i="9"/>
  <c r="Y62" i="9"/>
  <c r="U61" i="2"/>
  <c r="W62" i="2"/>
  <c r="P61" i="9"/>
  <c r="R62" i="9"/>
  <c r="X66" i="1"/>
  <c r="Y66" i="1" s="1"/>
  <c r="Z66" i="1" s="1"/>
  <c r="V44" i="1"/>
  <c r="S60" i="9"/>
  <c r="U61" i="9"/>
  <c r="S62" i="2"/>
  <c r="X63" i="9"/>
  <c r="R68" i="9"/>
  <c r="X69" i="9"/>
  <c r="AA69" i="2"/>
  <c r="X69" i="2"/>
  <c r="X63" i="2"/>
  <c r="AA63" i="2"/>
  <c r="Y68" i="9"/>
  <c r="V68" i="9"/>
  <c r="U67" i="9"/>
  <c r="S68" i="2"/>
  <c r="Z69" i="2"/>
  <c r="U25" i="9"/>
  <c r="W25" i="9" s="1"/>
  <c r="W68" i="2"/>
  <c r="U67" i="2"/>
  <c r="X68" i="2" l="1"/>
  <c r="AA68" i="2"/>
  <c r="V61" i="9"/>
  <c r="Y61" i="9"/>
  <c r="Y67" i="9"/>
  <c r="V67" i="9"/>
  <c r="U66" i="9"/>
  <c r="R67" i="9"/>
  <c r="X68" i="9"/>
  <c r="U60" i="9"/>
  <c r="S38" i="9"/>
  <c r="R61" i="9"/>
  <c r="P60" i="9"/>
  <c r="S67" i="2"/>
  <c r="Z68" i="2"/>
  <c r="X62" i="9"/>
  <c r="S61" i="2"/>
  <c r="Y25" i="9"/>
  <c r="T24" i="2"/>
  <c r="V25" i="9"/>
  <c r="V23" i="1"/>
  <c r="X44" i="1"/>
  <c r="Y44" i="1" s="1"/>
  <c r="Z44" i="1" s="1"/>
  <c r="X62" i="2"/>
  <c r="AA62" i="2"/>
  <c r="W67" i="2"/>
  <c r="U66" i="2"/>
  <c r="Z62" i="2"/>
  <c r="U60" i="2"/>
  <c r="W61" i="2"/>
  <c r="X23" i="2"/>
  <c r="Y23" i="2"/>
  <c r="AA23" i="2"/>
  <c r="S60" i="2" l="1"/>
  <c r="X61" i="9"/>
  <c r="U65" i="2"/>
  <c r="W65" i="2" s="1"/>
  <c r="W66" i="2"/>
  <c r="W24" i="2"/>
  <c r="Y66" i="9"/>
  <c r="V66" i="9"/>
  <c r="R66" i="9"/>
  <c r="X66" i="9" s="1"/>
  <c r="X67" i="9"/>
  <c r="AA61" i="2"/>
  <c r="X61" i="2"/>
  <c r="X67" i="2"/>
  <c r="AA67" i="2"/>
  <c r="X23" i="1"/>
  <c r="S66" i="2"/>
  <c r="Z67" i="2"/>
  <c r="V60" i="9"/>
  <c r="Y60" i="9"/>
  <c r="U38" i="9"/>
  <c r="U59" i="2"/>
  <c r="W60" i="2"/>
  <c r="Z61" i="2"/>
  <c r="R60" i="9"/>
  <c r="P38" i="9"/>
  <c r="P17" i="9" s="1"/>
  <c r="X60" i="2" l="1"/>
  <c r="AA60" i="2"/>
  <c r="AA65" i="2"/>
  <c r="X65" i="2"/>
  <c r="R17" i="9"/>
  <c r="P15" i="9"/>
  <c r="R15" i="9" s="1"/>
  <c r="AA66" i="2"/>
  <c r="X66" i="2"/>
  <c r="W59" i="2"/>
  <c r="U37" i="2"/>
  <c r="X60" i="9"/>
  <c r="X38" i="9" s="1"/>
  <c r="R38" i="9"/>
  <c r="Y38" i="9"/>
  <c r="V38" i="9"/>
  <c r="S65" i="2"/>
  <c r="Z65" i="2" s="1"/>
  <c r="Z66" i="2"/>
  <c r="AA24" i="2"/>
  <c r="Y24" i="2"/>
  <c r="X24" i="2"/>
  <c r="S59" i="2"/>
  <c r="Z60" i="2"/>
  <c r="AC225" i="9" l="1"/>
  <c r="AC226" i="9" s="1"/>
  <c r="AC48" i="9"/>
  <c r="AD361" i="1"/>
  <c r="AD364" i="1" s="1"/>
  <c r="X59" i="2"/>
  <c r="AA59" i="2"/>
  <c r="Z59" i="2"/>
  <c r="Z37" i="2" s="1"/>
  <c r="S37" i="2"/>
  <c r="S16" i="2" s="1"/>
  <c r="S14" i="2" s="1"/>
  <c r="W37" i="2"/>
  <c r="U16" i="2"/>
  <c r="U14" i="2" s="1"/>
  <c r="X37" i="2" l="1"/>
  <c r="AA37" i="2"/>
  <c r="S31" i="9" l="1"/>
  <c r="R37" i="1"/>
  <c r="Y37" i="1" s="1"/>
  <c r="Z37" i="1" s="1"/>
  <c r="P29" i="1"/>
  <c r="P28" i="1" l="1"/>
  <c r="R29" i="1"/>
  <c r="Y29" i="1" s="1"/>
  <c r="Z29" i="1" s="1"/>
  <c r="U31" i="9"/>
  <c r="S23" i="9"/>
  <c r="V31" i="9" l="1"/>
  <c r="W31" i="9"/>
  <c r="Y31" i="9"/>
  <c r="T30" i="2"/>
  <c r="U23" i="9"/>
  <c r="W23" i="9" s="1"/>
  <c r="S22" i="9"/>
  <c r="R28" i="1"/>
  <c r="Y28" i="1" s="1"/>
  <c r="Z28" i="1" s="1"/>
  <c r="P27" i="1"/>
  <c r="P25" i="1" l="1"/>
  <c r="R27" i="1"/>
  <c r="Y27" i="1" s="1"/>
  <c r="Z27" i="1" s="1"/>
  <c r="W30" i="2"/>
  <c r="T22" i="2"/>
  <c r="U22" i="9"/>
  <c r="W22" i="9" s="1"/>
  <c r="S21" i="9"/>
  <c r="Y23" i="9"/>
  <c r="V23" i="9"/>
  <c r="W22" i="2" l="1"/>
  <c r="T21" i="2"/>
  <c r="Y30" i="2"/>
  <c r="X30" i="2" s="1"/>
  <c r="AA30" i="2"/>
  <c r="U21" i="9"/>
  <c r="S19" i="9"/>
  <c r="V22" i="9"/>
  <c r="Y22" i="9"/>
  <c r="R25" i="1"/>
  <c r="Y25" i="1" s="1"/>
  <c r="Z25" i="1" s="1"/>
  <c r="P23" i="1"/>
  <c r="P21" i="1" l="1"/>
  <c r="R23" i="1"/>
  <c r="Y23" i="1" s="1"/>
  <c r="Z23" i="1" s="1"/>
  <c r="U19" i="9"/>
  <c r="S17" i="9"/>
  <c r="W21" i="2"/>
  <c r="T20" i="2"/>
  <c r="Y21" i="9"/>
  <c r="V21" i="9"/>
  <c r="W21" i="9"/>
  <c r="AA22" i="2"/>
  <c r="Y22" i="2"/>
  <c r="X22" i="2"/>
  <c r="Y19" i="9" l="1"/>
  <c r="V19" i="9"/>
  <c r="W19" i="9"/>
  <c r="W17" i="9" s="1"/>
  <c r="W15" i="9" s="1"/>
  <c r="U17" i="9"/>
  <c r="S15" i="9"/>
  <c r="U15" i="9" s="1"/>
  <c r="AC49" i="9" s="1"/>
  <c r="AC51" i="9" s="1"/>
  <c r="T18" i="2"/>
  <c r="W20" i="2"/>
  <c r="Y21" i="2"/>
  <c r="X21" i="2"/>
  <c r="AA21" i="2"/>
  <c r="P347" i="1"/>
  <c r="R21" i="1"/>
  <c r="X15" i="9" l="1"/>
  <c r="AC17" i="9" s="1"/>
  <c r="AC21" i="9" s="1"/>
  <c r="V17" i="9"/>
  <c r="Y17" i="9"/>
  <c r="X20" i="2"/>
  <c r="Y20" i="2"/>
  <c r="AA20" i="2"/>
  <c r="T16" i="2"/>
  <c r="W18" i="2"/>
  <c r="R347" i="1"/>
  <c r="AE30" i="1"/>
  <c r="Y15" i="9"/>
  <c r="V15" i="9"/>
  <c r="AE19" i="9" l="1"/>
  <c r="AE31" i="9"/>
  <c r="W16" i="2"/>
  <c r="T14" i="2"/>
  <c r="W14" i="2" s="1"/>
  <c r="Y18" i="2"/>
  <c r="AA18" i="2"/>
  <c r="X18" i="2"/>
  <c r="Y16" i="2" l="1"/>
  <c r="Y14" i="2"/>
  <c r="Z14" i="2" s="1"/>
  <c r="AA14" i="2"/>
  <c r="X14" i="2"/>
  <c r="X16" i="2"/>
  <c r="AA16" i="2"/>
  <c r="V264" i="1" l="1"/>
  <c r="V263" i="1" s="1"/>
  <c r="V236" i="1" s="1"/>
  <c r="X236" i="1" s="1"/>
  <c r="X263" i="1" l="1"/>
  <c r="V235" i="1"/>
  <c r="V215" i="1" l="1"/>
  <c r="X235" i="1"/>
  <c r="Y235" i="1" s="1"/>
  <c r="Z235" i="1" s="1"/>
  <c r="Y263" i="1"/>
  <c r="Z263" i="1" s="1"/>
  <c r="Y236" i="1"/>
  <c r="Z236" i="1" s="1"/>
  <c r="X215" i="1" l="1"/>
  <c r="Y215" i="1" s="1"/>
  <c r="Z215" i="1" s="1"/>
  <c r="V213" i="1"/>
  <c r="X213" i="1" l="1"/>
  <c r="Y213" i="1" s="1"/>
  <c r="Z213" i="1" s="1"/>
  <c r="V21" i="1"/>
  <c r="X21" i="1" l="1"/>
  <c r="V347" i="1"/>
  <c r="X347" i="1" l="1"/>
  <c r="Y21" i="1"/>
  <c r="AE31" i="1" l="1"/>
  <c r="AE32" i="1" s="1"/>
  <c r="Z21" i="1"/>
  <c r="Z347" i="1" s="1"/>
  <c r="Y347" i="1"/>
  <c r="X378" i="1" l="1"/>
  <c r="X395" i="1" s="1"/>
  <c r="Y378" i="1" l="1"/>
  <c r="Y395" i="1" l="1"/>
  <c r="Y396" i="1" s="1"/>
  <c r="AD395" i="1" l="1"/>
  <c r="AE32" i="9"/>
  <c r="AE33" i="9" s="1"/>
  <c r="AE20" i="9"/>
  <c r="AE21" i="9" s="1"/>
</calcChain>
</file>

<file path=xl/sharedStrings.xml><?xml version="1.0" encoding="utf-8"?>
<sst xmlns="http://schemas.openxmlformats.org/spreadsheetml/2006/main" count="7019" uniqueCount="301">
  <si>
    <t>Kode
Rekening</t>
  </si>
  <si>
    <t>Uraian</t>
  </si>
  <si>
    <t>Jumlah 
Anggaran</t>
  </si>
  <si>
    <t>SP2D UP / GU / TU / LS</t>
  </si>
  <si>
    <t>SPJ UP / GU / TU / LS</t>
  </si>
  <si>
    <t>Sisa Anggaran</t>
  </si>
  <si>
    <t>CP LS, GU</t>
  </si>
  <si>
    <t>s.d.
Bulan lalu</t>
  </si>
  <si>
    <t>Bulan ini</t>
  </si>
  <si>
    <t>s.d. 
Bulan ini</t>
  </si>
  <si>
    <t>1</t>
  </si>
  <si>
    <t>4</t>
  </si>
  <si>
    <t>5</t>
  </si>
  <si>
    <t>6(4+5)</t>
  </si>
  <si>
    <t>7</t>
  </si>
  <si>
    <t>8</t>
  </si>
  <si>
    <t>9(7+8)</t>
  </si>
  <si>
    <t>11=(6-9)</t>
  </si>
  <si>
    <t>12=(6-9)</t>
  </si>
  <si>
    <t>01</t>
  </si>
  <si>
    <t>BELANJA OPERASI</t>
  </si>
  <si>
    <t>PROGRAM PENUNJANG URUSAN PEMERINTAHAN DAERAH KABUPATEN/KOTA</t>
  </si>
  <si>
    <t>02</t>
  </si>
  <si>
    <t xml:space="preserve">ADMINISTRASI KEUANGAN PERANGKAT DAERAH </t>
  </si>
  <si>
    <t>Penyediaan Gaji dan Tunjangan ASN</t>
  </si>
  <si>
    <t xml:space="preserve">Belanja Pegawai </t>
  </si>
  <si>
    <t>Belanja Gaji dan Tunjangan ASN</t>
  </si>
  <si>
    <t>000</t>
  </si>
  <si>
    <t>Belanja Gaji Pokok ASN</t>
  </si>
  <si>
    <t>Belanja Tunjangan Keluarga ASN</t>
  </si>
  <si>
    <t>03</t>
  </si>
  <si>
    <t>Belanja Tunjangan Jabatan ASN</t>
  </si>
  <si>
    <t>05</t>
  </si>
  <si>
    <t>Belanja Tunjangan Fungsional Umum ASN</t>
  </si>
  <si>
    <t>06</t>
  </si>
  <si>
    <t>Belanja Tunjangan Beras ASN</t>
  </si>
  <si>
    <t>07</t>
  </si>
  <si>
    <t>Belanja Tunjangan PPh/Tunjangan Khusus ASN</t>
  </si>
  <si>
    <t>08</t>
  </si>
  <si>
    <t>Belanja Pembulatan Gaji ASN</t>
  </si>
  <si>
    <t>09</t>
  </si>
  <si>
    <t>Belanja Iuran Jaminan Kesehatan ASN</t>
  </si>
  <si>
    <t>Belanja Iuran Jaminan Kecelakaan Kerja ASN</t>
  </si>
  <si>
    <t>11</t>
  </si>
  <si>
    <t>Belanja Iuran Jaminan Kematian ASN</t>
  </si>
  <si>
    <t>Belanja Tambahan Penghasilan ASN</t>
  </si>
  <si>
    <t>Tambahan Penghasilan Berdasarkan Beban Kerja ASN</t>
  </si>
  <si>
    <t xml:space="preserve">ADMINISTRASI UMUM PERANGKAT DAERAH </t>
  </si>
  <si>
    <t xml:space="preserve">Penyediaan Komponen Instalasi Listrik/Penerangan Bangunan Kantor </t>
  </si>
  <si>
    <t>Belanja Barang dan Jasa</t>
  </si>
  <si>
    <t>Belanja Barang</t>
  </si>
  <si>
    <t>Belanja Barang Pakai Habis</t>
  </si>
  <si>
    <t>003</t>
  </si>
  <si>
    <t>Belanja Alat/Bahan Untuk Kegiatan Kantor-Alat Listrik</t>
  </si>
  <si>
    <t>04</t>
  </si>
  <si>
    <t xml:space="preserve">Penyediaan Bahan Logistik Kantor </t>
  </si>
  <si>
    <t>002</t>
  </si>
  <si>
    <t>Belanja Alat/Bahan Untuk Kegiatan Kantor-ATK</t>
  </si>
  <si>
    <t>Belanja Alat/Bahan Untuk Kegiatan Kantor-Kertas dan Cover</t>
  </si>
  <si>
    <t>Belanja Alat/Bahan Untuk Kegiatan Kantor-Bahan Komputer</t>
  </si>
  <si>
    <t xml:space="preserve">Belanja Alat/Bahan Untuk Kegiatan Kantor-Bahan untuk Kegiatan Kantor Lainnya </t>
  </si>
  <si>
    <t xml:space="preserve">Penyediaan Bahan Cetak dan Penggandaan </t>
  </si>
  <si>
    <t>Belanja Alat/Bahan Untuk Kegiatan Kantor-Bahan Cetak</t>
  </si>
  <si>
    <t xml:space="preserve">Penyelenggaraan Rapat Koordinasi dan Konsultasi SKPD </t>
  </si>
  <si>
    <t>2</t>
  </si>
  <si>
    <t xml:space="preserve">Belanja Barang </t>
  </si>
  <si>
    <t>005</t>
  </si>
  <si>
    <t xml:space="preserve">Belanja Makanan dan Minuman Rapat </t>
  </si>
  <si>
    <t>Belanja Perjalanan Dinas</t>
  </si>
  <si>
    <t xml:space="preserve">Belanja Perjalanan Dinas Dalam Negeri </t>
  </si>
  <si>
    <t>Belanja Perjalanan Dinas Biasa</t>
  </si>
  <si>
    <t xml:space="preserve">PENYEDIAAN JASA PENUNJANG URUSAN PEMERINTAHAN DAERAH </t>
  </si>
  <si>
    <t xml:space="preserve">Penyediaan Jasa Surat Menyurat </t>
  </si>
  <si>
    <t>Belanja Alat/Bahan untuk Kegiatan Kantor-Benda Pos</t>
  </si>
  <si>
    <t xml:space="preserve">Penyediaan Jasa Komunikasi, Sumber Daya Air dan Listrik </t>
  </si>
  <si>
    <t>Belanja Jasa</t>
  </si>
  <si>
    <t xml:space="preserve">Belanja Jasa Kantor </t>
  </si>
  <si>
    <t xml:space="preserve">Belanja Tagihan Telepon </t>
  </si>
  <si>
    <t>006</t>
  </si>
  <si>
    <t>0</t>
  </si>
  <si>
    <t xml:space="preserve">Belanja Tagihan Air </t>
  </si>
  <si>
    <t xml:space="preserve">Belanja Tagihan Listrik </t>
  </si>
  <si>
    <t>Penyediaan Jasa Pelayanan Umum Kantor</t>
  </si>
  <si>
    <t xml:space="preserve">Belanja Jasa Tenaga Administrasi </t>
  </si>
  <si>
    <t xml:space="preserve">Belanja Jasa Tenaga Kebersihan </t>
  </si>
  <si>
    <t xml:space="preserve">Belanja Jasa Tenaga Keamanan </t>
  </si>
  <si>
    <t>3</t>
  </si>
  <si>
    <t xml:space="preserve">Belanja Jasa Tenaga Sopir </t>
  </si>
  <si>
    <t xml:space="preserve">Belanja Iuran Jaminan/Asuransi </t>
  </si>
  <si>
    <t>6</t>
  </si>
  <si>
    <t xml:space="preserve">Belanja Iuran Jaminan Kecelakaan Kerja Bagi Non PNS </t>
  </si>
  <si>
    <t xml:space="preserve">Belanja Iuran Jaminan Kematian Bagi Non PNS </t>
  </si>
  <si>
    <t xml:space="preserve">PEMELIHARAAN BARANG MILIK DAERAH PENUNJANG URUSAN PEMERINTAHAN DAERAH </t>
  </si>
  <si>
    <t xml:space="preserve">Penyediaan Jasa Pemeliharaan, Biaya Pemeliharaan, Pajak dan Perizinan Kendaraan Dinas Operasional atau Lapangan </t>
  </si>
  <si>
    <t>Belanja Bahan-Bahan Bakar dan Pelumas</t>
  </si>
  <si>
    <t xml:space="preserve">Belanja Pembayaran Pajak, Bea dan Perizinan </t>
  </si>
  <si>
    <t xml:space="preserve">Belanja Pemeliharaan </t>
  </si>
  <si>
    <t xml:space="preserve">Belanja Pemeliharaan Peralatan dan Mesin </t>
  </si>
  <si>
    <t>Belanja Pemeliharaan Alat Angkutan - Alat Angkutan Darat Bermotor - Kendaraan Dinas Bermotor Perorangan</t>
  </si>
  <si>
    <t>Pemeliharaan Peralatan dan Mesin Lainnya</t>
  </si>
  <si>
    <t>011</t>
  </si>
  <si>
    <t>012</t>
  </si>
  <si>
    <t xml:space="preserve">Belanja Pemeliharaan Peralatan Kantor dan Rumah Tangga -Meja dan Kursi Kerja/Rapat Pejabat-Meja Kerja Pejabat </t>
  </si>
  <si>
    <t>040</t>
  </si>
  <si>
    <t xml:space="preserve">Belanja Pemeliharaan Komputer - Komputer Unit - Personal Computer </t>
  </si>
  <si>
    <t>9</t>
  </si>
  <si>
    <t xml:space="preserve">Belanja Pemeliharaan Komputer - Peralatan Komputer - Peralatan Personal Komputer </t>
  </si>
  <si>
    <t xml:space="preserve">Pemeliharaan/Rehabilitasi Gedung Kantor dan Bangunan Lainnya </t>
  </si>
  <si>
    <t xml:space="preserve">Belanja Pemeliharaan Gedung dan Bangunan </t>
  </si>
  <si>
    <t xml:space="preserve">Belanja Pemeliharaan Bangunan Gedung - Bangunan Gedung Tempat Kerja - Bangunan Gedung Kantor </t>
  </si>
  <si>
    <t>PROGRAM PENYELENGGARAAN PEMERINTAHAN DAN PELAYANAN PUBLIK</t>
  </si>
  <si>
    <t xml:space="preserve">PELAKSANAAN URUSAN PEMERINTAHAN YANG DILIMPAHKAN KEPADA CAMAT </t>
  </si>
  <si>
    <t>Belanja Alat/Bahan Untuk Kegiatan Kantor-Sovenir/Cendera Mata</t>
  </si>
  <si>
    <t>Belanja Makanan dan Minuman Aktivitas Lapangan</t>
  </si>
  <si>
    <t>Belanja Jasa Kantor</t>
  </si>
  <si>
    <t>Honorarium Narasumber atau Pembahas, Moderator, Pembawa Acara dan Panitia</t>
  </si>
  <si>
    <t>Belanja Jasa Juri Perlombaan/Pertandingan</t>
  </si>
  <si>
    <t>Belanja Perjalanan Dinas Dalam Kota</t>
  </si>
  <si>
    <t>Belanja Uang dan/atau Jasa untuk Diberikan kepada Pihak Ketiga/Pihak Lain/Masyarakat</t>
  </si>
  <si>
    <t>Belanja Uang yang Diberikan kepada Pihak Ketiga/Pihak Lain/Masyarakat</t>
  </si>
  <si>
    <t>Belanja Hadiah yang Bersifat Perlombaan</t>
  </si>
  <si>
    <t>PROGRAM PEMBERDAYAAN MASYARAKAT DESA DAN KELURAHAN</t>
  </si>
  <si>
    <t>KEGIATAN PEMBERDAYAAN KELURAHAN</t>
  </si>
  <si>
    <t xml:space="preserve">Belanja Barang dan Jasa </t>
  </si>
  <si>
    <t xml:space="preserve">Belanja Alat/Bahan Untuk Kegiatan Kantor-Bahan Cetak </t>
  </si>
  <si>
    <t xml:space="preserve">Belanja Alat/Bahan Untuk Kegiatan Kantor-Bahan Komputer </t>
  </si>
  <si>
    <t>Belanja Makanan dan Minuman Rapat</t>
  </si>
  <si>
    <t xml:space="preserve">Belanja Makanan dan Minuman Aktivitas Lapangan </t>
  </si>
  <si>
    <t>007</t>
  </si>
  <si>
    <t>Belanja Pakaian Batik Tradisional</t>
  </si>
  <si>
    <t>Honorarium Penyuluh atau Pendamping</t>
  </si>
  <si>
    <t xml:space="preserve">Belanja Barang Pakai Habis </t>
  </si>
  <si>
    <t>Belanja Alat/Bahan Untuk Kegiatan Kantor- ATK</t>
  </si>
  <si>
    <t>Belanja Alat/Bahan Untuk Kegiatan Kantor- Kertas dan Cover</t>
  </si>
  <si>
    <t>Belanja Alat/Bahan Untuk Kegiatan Kantor- Bahan Cetak</t>
  </si>
  <si>
    <t xml:space="preserve">Belanja Alat/Bahan Untuk Kegiatan Kantor- Bahan Kamputer </t>
  </si>
  <si>
    <t>Belanja Alat/Bahan Untuk Kegiatan Kantor- Suvenir/Cendera Mata</t>
  </si>
  <si>
    <t xml:space="preserve">Belanja Jasa </t>
  </si>
  <si>
    <t xml:space="preserve">Honorarium Penyuluhan atau Pendampingan </t>
  </si>
  <si>
    <t>Belanja Hadiah yang Bersifat Perlombaab</t>
  </si>
  <si>
    <t xml:space="preserve">PEMBERDAYAAN LEMBAGA KEMASYARAKATAN TINGKAT KECAMATAN </t>
  </si>
  <si>
    <t>PROGRAM KOORDINASI  KETENTRAMAN DAN KETERTIBAN UMUM</t>
  </si>
  <si>
    <t>KOORDINASI UPAYA PENYELENGGARAAN KETENTRAMAN DAN KETERTIBAN UMUM</t>
  </si>
  <si>
    <t>Sinergitas dengan Kepolisian Negara Republik Indonesia. Tentara Nasional Indonesia dan Instansi Vertikal di Wilayah Kecamatan (FKPM)</t>
  </si>
  <si>
    <t xml:space="preserve">Belanja Perjalanan Dinas Dalam Kota </t>
  </si>
  <si>
    <t>PROGRAM PENYELENGGARAAN URUSAN PEMERINTAHAN UMUM</t>
  </si>
  <si>
    <t xml:space="preserve">PENYELENGGARAAN URUSAN PEMERINTAHAN UMUM SESUAI PENUGASAN KEPALA DAERAH </t>
  </si>
  <si>
    <t>Pembinaan Kerukunan Antarsukudan Intrasuku, Umat Beragama, Ras dan Golongan Lainnya Guna Mewujudkan Stabilitas Keamanan Lokal, Regional dan Nasional (Tim Ramadhan)</t>
  </si>
  <si>
    <t>;05</t>
  </si>
  <si>
    <t xml:space="preserve">Belanja Makanan dan Minuman Jamuan Tamu </t>
  </si>
  <si>
    <t xml:space="preserve">Belanja Pakaian Batik Tradisional </t>
  </si>
  <si>
    <t xml:space="preserve">Pelaksanaan Tugas Forum Koordinasi Pimpinan di Kecamatan </t>
  </si>
  <si>
    <t xml:space="preserve">Honorarium Narasumber atau Pembahas, Moderator, Pembawa Acara dan Panitia </t>
  </si>
  <si>
    <t>JUMLAH</t>
  </si>
  <si>
    <t>PEMERINTAH KOTA PADANG PANJANG</t>
  </si>
  <si>
    <t>LAPORAN PERTANGGUNGJAWABAN BENDAHARA PENGELUARAN</t>
  </si>
  <si>
    <t>(SPJ BELANJA ADMINISTRATIF)</t>
  </si>
  <si>
    <t>SKPD</t>
  </si>
  <si>
    <t>: KECAMATAN PADANG PANJANG TIMUR</t>
  </si>
  <si>
    <t>Pengguna Anggaran</t>
  </si>
  <si>
    <t>Bendahara Pengeluaran</t>
  </si>
  <si>
    <t>Tahun Anggaran</t>
  </si>
  <si>
    <t>Bulan</t>
  </si>
  <si>
    <t>SPJ - LS Gaji</t>
  </si>
  <si>
    <t>SPJ   UP/GU/TU</t>
  </si>
  <si>
    <t>Jumlah SPJ
(LS+UP/GU/TU)
s.d. Bulan ini</t>
  </si>
  <si>
    <t>Sisa Pagu Anggaran</t>
  </si>
  <si>
    <t>10</t>
  </si>
  <si>
    <t>12(10+11)</t>
  </si>
  <si>
    <t>13(6+9+12)</t>
  </si>
  <si>
    <t>14(3-13)</t>
  </si>
  <si>
    <t>001</t>
  </si>
  <si>
    <t xml:space="preserve">Belanja Bahan-Isi Tabung Gas </t>
  </si>
  <si>
    <t xml:space="preserve">Belanja Alat/Bahan Untuk Kegiatan Kantor-Perabot Kantor </t>
  </si>
  <si>
    <t xml:space="preserve">Belanja Jasa Pembersih, Pengendalian Hama dan Fumigasi </t>
  </si>
  <si>
    <t>Belanja Pemeliharaan Peralatan Kantor dan Rumah Tangga - Alat Kantor - Alat Kantor Lainnya</t>
  </si>
  <si>
    <t>Belanja Alat/Bahan Untuk Kegiatan Kantor-Alat/Bahan Untuk Kegiatan Kantor Lainnya</t>
  </si>
  <si>
    <t>Belanja Jasa Tenaga Kebersihan</t>
  </si>
  <si>
    <t>Belanja Iuran Jaminan Kecelakaan Kerja bagi Non ASN</t>
  </si>
  <si>
    <t>Belanja Iuran Jaminan Kematian bagi Non ASN</t>
  </si>
  <si>
    <t>Belanja Pemeliharaan</t>
  </si>
  <si>
    <t>Belanja Pemeliharaan Alat Angkutan-Alat angkutan Darat Bermotor-Kendaraan Bermotor Beroda Tiga</t>
  </si>
  <si>
    <t>KOORDINASI PEMELIHARAAN PRASARANA DAN SARANA PELAYANAN UMUM</t>
  </si>
  <si>
    <t>Penerimaan</t>
  </si>
  <si>
    <t>- SP2D (LS + UP / GU / TU)</t>
  </si>
  <si>
    <t>- Potongan Pajak :</t>
  </si>
  <si>
    <t xml:space="preserve">  a. PPN </t>
  </si>
  <si>
    <t xml:space="preserve">  c. PPh Psl 22 </t>
  </si>
  <si>
    <t xml:space="preserve">  d. PPh Psl 23 </t>
  </si>
  <si>
    <t xml:space="preserve">  e. PPh pasal 4 ayat 2</t>
  </si>
  <si>
    <t xml:space="preserve">  f.  Pph Final Psl. 4 </t>
  </si>
  <si>
    <t xml:space="preserve">  g.  Pajak Rumah Makan/Restoran</t>
  </si>
  <si>
    <t xml:space="preserve">  h. Pajak Hotel</t>
  </si>
  <si>
    <t>- Lain-lain (Pelimpahan uang ke Kelurahan)</t>
  </si>
  <si>
    <t>JUMLAH PENERIMAAN</t>
  </si>
  <si>
    <t>Pengeluaran</t>
  </si>
  <si>
    <t>JUMLAH PENGELUARAN</t>
  </si>
  <si>
    <t xml:space="preserve">Jumlah Saldo </t>
  </si>
  <si>
    <t>Mengetahui :</t>
  </si>
  <si>
    <t xml:space="preserve">Pengguna Anggaran </t>
  </si>
  <si>
    <t>Kecamatan Padang Panjang Timur</t>
  </si>
  <si>
    <t xml:space="preserve">Belanja Makanan dan Minuman pada Fasilitas Pelayanan Urusan Kesehatan </t>
  </si>
  <si>
    <t xml:space="preserve">Pelaksanaan Urusan Pemeritahan yang Terkait  dengan Kewenangan Lain yang Dilimpahkan (KT, FKKS, UKS, Posyandu) </t>
  </si>
  <si>
    <t xml:space="preserve">Belanja Jasa Tenaga Penanganan Sosial </t>
  </si>
  <si>
    <t>Belanja Alat/Bahan Untuk Kegiatan Kantor- Alat/Bahan untuk Kegiatan Kantor Lainnya</t>
  </si>
  <si>
    <t>004</t>
  </si>
  <si>
    <t xml:space="preserve">Belanja Sewa Mess/Wisma/Bungalow/Tempat Peristirahatan </t>
  </si>
  <si>
    <t>Belanja Sewa Alat Kantor Lainnya</t>
  </si>
  <si>
    <t>Honorarium Penyuluhan atau Pendampingan</t>
  </si>
  <si>
    <t>- Lainnya (Hutang/CP)</t>
  </si>
  <si>
    <t xml:space="preserve">LAPORAN REALISASI ANGGARAN </t>
  </si>
  <si>
    <t>OPD KECAMATAN PADANG PANJANG TIMUR</t>
  </si>
  <si>
    <t>Pejabat Penatausahaan Keuangan (PPK)</t>
  </si>
  <si>
    <t>JUBLINA GA WEWO, SE</t>
  </si>
  <si>
    <t>Jumlah Anggaran Belanja (Rp.)</t>
  </si>
  <si>
    <t>Realisasi SP2D</t>
  </si>
  <si>
    <t>Realisasi Belanja-Belanja (Rp.)</t>
  </si>
  <si>
    <t>Persentase  (%)</t>
  </si>
  <si>
    <t xml:space="preserve">Belanja Barang &amp; Jasa </t>
  </si>
  <si>
    <t>Belanja Modal</t>
  </si>
  <si>
    <t>Total</t>
  </si>
  <si>
    <t>6 = (3+4+5)</t>
  </si>
  <si>
    <t>11 = (8+9+10)</t>
  </si>
  <si>
    <t>12 = (6-11)</t>
  </si>
  <si>
    <t>13 =( 7-12 )</t>
  </si>
  <si>
    <t>14 = (7-11)</t>
  </si>
  <si>
    <t>15=11/6 X 100</t>
  </si>
  <si>
    <t>- SPJ (LS + UP / GU / TU)</t>
  </si>
  <si>
    <t xml:space="preserve">  b. PPh Psl 21 (Gaji+TPP+ B. Operasional)</t>
  </si>
  <si>
    <t>13=9/3 X 100</t>
  </si>
  <si>
    <t xml:space="preserve">UANG PERSEDIAAN </t>
  </si>
  <si>
    <t>9 (7+8)</t>
  </si>
  <si>
    <t>10 = 3-9</t>
  </si>
  <si>
    <t>NIP.197809102007012004</t>
  </si>
  <si>
    <t xml:space="preserve">                                                                                                                                  </t>
  </si>
  <si>
    <t>Belanja Jasa Kalibrasi (KIR Kendaraan Oprs)</t>
  </si>
  <si>
    <t>Belanja Alat/Bahan Untuk Kegiatan Kantor- Alat/Bahan Untuk Kegiatan Kantor Lainnya</t>
  </si>
  <si>
    <t xml:space="preserve">: Drs. A S R U L </t>
  </si>
  <si>
    <t xml:space="preserve">: HENDRO NALAPRAYA </t>
  </si>
  <si>
    <t>: 2022</t>
  </si>
  <si>
    <t xml:space="preserve">HENDRO NALAPRAYA </t>
  </si>
  <si>
    <t>NIP.198802172011011005</t>
  </si>
  <si>
    <t xml:space="preserve">Drs. A S R U L </t>
  </si>
  <si>
    <t>NIP. 196511121997021004</t>
  </si>
  <si>
    <t xml:space="preserve">PENGADAAN BARANG MILIK DAERAH PENUNJANG URUSAN PEMERINTAH DAERAH </t>
  </si>
  <si>
    <t xml:space="preserve">Tambahan Penghasilan berdasarkan Pertimbangan Objektif lainnya ASN </t>
  </si>
  <si>
    <t xml:space="preserve">Belanja Honorarium </t>
  </si>
  <si>
    <t xml:space="preserve">Belanja Honoraraium Pengadaan Barang/Jasa </t>
  </si>
  <si>
    <t xml:space="preserve">Pengadaan Peralatan dan Mesin </t>
  </si>
  <si>
    <t xml:space="preserve">Belanja Modal </t>
  </si>
  <si>
    <t xml:space="preserve">Belanja Modal Peralatan dan Mesin </t>
  </si>
  <si>
    <t xml:space="preserve">Belanja Modal Komputer </t>
  </si>
  <si>
    <t xml:space="preserve">Belanja Modal Komputer Unit </t>
  </si>
  <si>
    <t xml:space="preserve">Belanja Modal Personal Komputer </t>
  </si>
  <si>
    <t xml:space="preserve">Belanja Jasa Pembersihan, Pengendalian Hama dan Fumigasi </t>
  </si>
  <si>
    <t xml:space="preserve">Belanja Bahan Bakar dan Pelumas </t>
  </si>
  <si>
    <t xml:space="preserve">Belanja Pemeliharaan Peralatan Kantor dan Rumah Tangga - Alat Rumah Tangga-Mebel </t>
  </si>
  <si>
    <t xml:space="preserve">Koordinasi/Sinergi dengan Perangkat Daerah dan/atau Instansi Vertikal yang Terkait dalam Pemeliharaan Sarana dan Prasarana Pelayanan Umum (Persampahan+Bentor 8 Kel) </t>
  </si>
  <si>
    <t xml:space="preserve">Belanja Bahan-Bahan Lainnya </t>
  </si>
  <si>
    <t xml:space="preserve">Belanja Alat/Bahan Untuk Kegiatan Kantor-Suvenir/Cendera Mata </t>
  </si>
  <si>
    <t xml:space="preserve">Belanja Alat/Bahan Untuk Kegiatan Kantor-Alat/Bahan untuk Kegiatan Kantor Lainnya </t>
  </si>
  <si>
    <t>Belanja Sewa Kendaraan Bermotor Penumpang</t>
  </si>
  <si>
    <t xml:space="preserve">Honoraraium Tim Pelaksana Kegiatan dan Sekretariat Tim Pelaksanan Kegiatan </t>
  </si>
  <si>
    <t xml:space="preserve">Belanja Sewa Peralatan dan Mesin </t>
  </si>
  <si>
    <t xml:space="preserve">Belanja Sewa Alat Kantor Lainnya </t>
  </si>
  <si>
    <t>Pelaksanaan Urusan Pemeritahan yang Terkait  dengan Kewenangan Lain yang Dilimpahkan (KT, PKK,Dasawisma, FKKS,HKG PKK, Posyandu, UKS)</t>
  </si>
  <si>
    <t>Peningkatan Partisipasi Masyarakat dalam Forum Musyawarah Perencanaan Pembangunan di Kelurahan (Musrenbang)</t>
  </si>
  <si>
    <t>Pemberdayaan Masyarakat di Kelurahan (LPM, Posyantek, BBGRM, Kel. Berprestasi)</t>
  </si>
  <si>
    <t xml:space="preserve">Belanja Jasa Juri Perlombaan/Pertandingan </t>
  </si>
  <si>
    <t>Penyelenggaraan Lembaga Kemasyarakatan (RT)</t>
  </si>
  <si>
    <t xml:space="preserve">Belanja Alat/Bahan Untuk Kegiatan Kantor- Bahan Komputer </t>
  </si>
  <si>
    <t xml:space="preserve">Honoraraium Tim Pelaksana Kegiatan dan Sekretariat Tim Pelaksana Kegiatan </t>
  </si>
  <si>
    <t xml:space="preserve">Belanja Hadiah yang Bersifat Perlombaan </t>
  </si>
  <si>
    <t xml:space="preserve">Belanja Alat/Bahan Untuk Kegiatan Kantor- Alat Tulis Kantor </t>
  </si>
  <si>
    <t xml:space="preserve">Belanja Alat/Bahan Untuk Kegiatan Kantor- Sovenir/Cendera Mata </t>
  </si>
  <si>
    <t xml:space="preserve">Honorarium Tim Pelaksana Kegiatan dan Sekretariat Tim Pelaksana Kegiatan </t>
  </si>
  <si>
    <t xml:space="preserve">  </t>
  </si>
  <si>
    <t xml:space="preserve">SPJ - LS Belanja Modal </t>
  </si>
  <si>
    <t>- Lain-lain (Panjar SPPD ke Pekanbaru tgl. 26-28 Mei 2022)</t>
  </si>
  <si>
    <t xml:space="preserve">Saldo Bank </t>
  </si>
  <si>
    <t>- Lain-lain (Pengembalian Panjar SPPD ke Pekanbaru tgl. 26-28 Mei 2022)</t>
  </si>
  <si>
    <t>- Lain-lain (Koreksi belanja BBM bentor Kel. Ekor Lubuk)</t>
  </si>
  <si>
    <t>Belanja Alat/Bahan Untuk Kegiatan Kantor- Alat Tulis Kantor</t>
  </si>
  <si>
    <t xml:space="preserve">Belanja Jasa Tenaga Ahli </t>
  </si>
  <si>
    <t xml:space="preserve"> </t>
  </si>
  <si>
    <t>- Lain-lain (Panjar SPPD ke Cilegon tgl 18-21 Okt 2022 an. Ulfa Gusti dan Rona Hayati)</t>
  </si>
  <si>
    <t>Belanja Pakaian Olahraga</t>
  </si>
  <si>
    <t>Belanja Jasa Tenaga Kesenian dan Kebudayaan</t>
  </si>
  <si>
    <t>Belanja Jasa Tenaga Operator Komputer</t>
  </si>
  <si>
    <t>013</t>
  </si>
  <si>
    <t xml:space="preserve">Belanja Sewa Peralatan Studio Audio </t>
  </si>
  <si>
    <t>Honoraraium Penyuluhan atau Pendampingan</t>
  </si>
  <si>
    <t>Belanja Sewa Alat Musik</t>
  </si>
  <si>
    <t>- Lain-lain (Pengembalian Panjar SPPD ke Cilegon tgl 18-21 Okt 2022 an. Ulfa Gusti dan Rona Hayati)</t>
  </si>
  <si>
    <t xml:space="preserve">: DESEMBER </t>
  </si>
  <si>
    <t>Padang Panjang, 30 Desember  2022</t>
  </si>
  <si>
    <t>BULAN DESEMBER 2022</t>
  </si>
  <si>
    <t>- Lain-lain (Penyetoran sisa UYHD tahun 2022))</t>
  </si>
  <si>
    <t>CP LS</t>
  </si>
  <si>
    <t xml:space="preserve">Sisa UYHD UP/GU/TU + CP </t>
  </si>
  <si>
    <t xml:space="preserve">- Lain-lain (Penyetoran CP belanja tahun Anggaran 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</si>
</sst>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color theme="1"/>
      <name val="Arial"/>
      <family val="2"/>
    </font>
    <font>
      <b/>
      <sz val="13"/>
      <color indexed="8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b/>
      <sz val="13"/>
      <color theme="1"/>
      <name val="Arial"/>
      <family val="2"/>
    </font>
    <font>
      <sz val="11"/>
      <color theme="1"/>
      <name val="Arial Narrow"/>
      <family val="2"/>
    </font>
    <font>
      <sz val="20"/>
      <color theme="1"/>
      <name val="Arial"/>
      <family val="2"/>
    </font>
    <font>
      <sz val="13"/>
      <color theme="1"/>
      <name val="Arial Narrow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3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indexed="8"/>
      <name val="Tahoma"/>
      <family val="2"/>
    </font>
    <font>
      <sz val="13"/>
      <color theme="1"/>
      <name val="Tahoma"/>
      <family val="2"/>
    </font>
    <font>
      <sz val="11"/>
      <color theme="1"/>
      <name val="Tahoma"/>
      <family val="2"/>
    </font>
    <font>
      <sz val="13"/>
      <color indexed="8"/>
      <name val="Tahoma"/>
      <family val="2"/>
    </font>
    <font>
      <b/>
      <sz val="13"/>
      <color theme="1"/>
      <name val="Tahoma"/>
      <family val="2"/>
    </font>
    <font>
      <b/>
      <sz val="11"/>
      <color theme="1"/>
      <name val="Tahoma"/>
      <family val="2"/>
    </font>
    <font>
      <b/>
      <sz val="13"/>
      <name val="Tahoma"/>
      <family val="2"/>
    </font>
    <font>
      <sz val="13"/>
      <name val="Tahoma"/>
      <family val="2"/>
    </font>
    <font>
      <b/>
      <u/>
      <sz val="13"/>
      <name val="Tahoma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CFEB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41" fontId="17" fillId="0" borderId="0" applyFont="0" applyFill="0" applyBorder="0" applyAlignment="0" applyProtection="0"/>
  </cellStyleXfs>
  <cellXfs count="597">
    <xf numFmtId="0" fontId="0" fillId="0" borderId="0" xfId="0"/>
    <xf numFmtId="49" fontId="2" fillId="0" borderId="0" xfId="3" applyNumberFormat="1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0" borderId="12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11" fillId="0" borderId="0" xfId="0" applyNumberFormat="1" applyFont="1" applyBorder="1" applyAlignment="1">
      <alignment horizontal="center"/>
    </xf>
    <xf numFmtId="41" fontId="12" fillId="0" borderId="0" xfId="0" applyNumberFormat="1" applyFont="1" applyAlignment="1">
      <alignment horizontal="center"/>
    </xf>
    <xf numFmtId="164" fontId="5" fillId="0" borderId="1" xfId="1" applyNumberFormat="1" applyFont="1" applyBorder="1"/>
    <xf numFmtId="0" fontId="7" fillId="3" borderId="6" xfId="0" quotePrefix="1" applyFont="1" applyFill="1" applyBorder="1" applyAlignment="1">
      <alignment horizontal="center" vertical="center" wrapText="1"/>
    </xf>
    <xf numFmtId="0" fontId="7" fillId="4" borderId="8" xfId="0" quotePrefix="1" applyFont="1" applyFill="1" applyBorder="1" applyAlignment="1">
      <alignment horizontal="center" vertical="center"/>
    </xf>
    <xf numFmtId="0" fontId="7" fillId="5" borderId="8" xfId="0" quotePrefix="1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 wrapText="1"/>
    </xf>
    <xf numFmtId="0" fontId="7" fillId="4" borderId="8" xfId="0" quotePrefix="1" applyFont="1" applyFill="1" applyBorder="1" applyAlignment="1">
      <alignment horizontal="center" vertical="center" wrapText="1"/>
    </xf>
    <xf numFmtId="0" fontId="7" fillId="5" borderId="8" xfId="0" quotePrefix="1" applyFont="1" applyFill="1" applyBorder="1" applyAlignment="1">
      <alignment horizontal="center" vertical="center" wrapText="1"/>
    </xf>
    <xf numFmtId="0" fontId="7" fillId="5" borderId="15" xfId="0" quotePrefix="1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horizontal="center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vertical="center" wrapText="1"/>
    </xf>
    <xf numFmtId="164" fontId="7" fillId="2" borderId="12" xfId="1" applyNumberFormat="1" applyFont="1" applyFill="1" applyBorder="1" applyAlignment="1">
      <alignment vertical="center" wrapText="1"/>
    </xf>
    <xf numFmtId="164" fontId="7" fillId="0" borderId="19" xfId="1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18" fillId="0" borderId="0" xfId="0" applyFont="1"/>
    <xf numFmtId="0" fontId="0" fillId="0" borderId="0" xfId="0" applyBorder="1"/>
    <xf numFmtId="0" fontId="5" fillId="0" borderId="0" xfId="0" applyFont="1" applyBorder="1"/>
    <xf numFmtId="0" fontId="7" fillId="2" borderId="0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vertical="center"/>
    </xf>
    <xf numFmtId="43" fontId="5" fillId="0" borderId="0" xfId="1" applyFont="1" applyBorder="1"/>
    <xf numFmtId="3" fontId="7" fillId="12" borderId="1" xfId="0" applyNumberFormat="1" applyFont="1" applyFill="1" applyBorder="1" applyAlignment="1">
      <alignment vertical="center"/>
    </xf>
    <xf numFmtId="49" fontId="12" fillId="0" borderId="0" xfId="3" applyNumberFormat="1" applyFont="1" applyBorder="1" applyAlignment="1">
      <alignment horizontal="center" vertical="center"/>
    </xf>
    <xf numFmtId="41" fontId="11" fillId="0" borderId="0" xfId="3" applyNumberFormat="1" applyFont="1" applyAlignment="1">
      <alignment horizontal="left" vertical="center"/>
    </xf>
    <xf numFmtId="41" fontId="12" fillId="0" borderId="0" xfId="3" applyNumberFormat="1" applyFont="1" applyBorder="1" applyAlignment="1">
      <alignment horizontal="left" vertical="center"/>
    </xf>
    <xf numFmtId="49" fontId="11" fillId="0" borderId="0" xfId="3" applyNumberFormat="1" applyFont="1" applyBorder="1" applyAlignment="1">
      <alignment horizontal="center" vertical="center"/>
    </xf>
    <xf numFmtId="41" fontId="11" fillId="0" borderId="0" xfId="3" applyNumberFormat="1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64" fontId="7" fillId="4" borderId="7" xfId="1" applyNumberFormat="1" applyFont="1" applyFill="1" applyBorder="1" applyAlignment="1">
      <alignment vertical="center" wrapText="1"/>
    </xf>
    <xf numFmtId="0" fontId="4" fillId="9" borderId="7" xfId="0" quotePrefix="1" applyFont="1" applyFill="1" applyBorder="1" applyAlignment="1">
      <alignment horizontal="center" vertical="center" wrapText="1" readingOrder="1"/>
    </xf>
    <xf numFmtId="0" fontId="4" fillId="9" borderId="8" xfId="0" quotePrefix="1" applyFont="1" applyFill="1" applyBorder="1" applyAlignment="1">
      <alignment horizontal="center" vertical="center" wrapText="1" readingOrder="1"/>
    </xf>
    <xf numFmtId="0" fontId="6" fillId="9" borderId="8" xfId="0" applyFont="1" applyFill="1" applyBorder="1" applyAlignment="1">
      <alignment horizontal="center" vertical="center" wrapText="1" readingOrder="1"/>
    </xf>
    <xf numFmtId="0" fontId="6" fillId="9" borderId="13" xfId="0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left" vertical="center" wrapText="1" readingOrder="1"/>
    </xf>
    <xf numFmtId="3" fontId="4" fillId="9" borderId="1" xfId="0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49" fontId="12" fillId="0" borderId="1" xfId="0" quotePrefix="1" applyNumberFormat="1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 wrapText="1"/>
    </xf>
    <xf numFmtId="164" fontId="5" fillId="0" borderId="0" xfId="0" applyNumberFormat="1" applyFont="1"/>
    <xf numFmtId="0" fontId="7" fillId="0" borderId="0" xfId="0" applyFont="1"/>
    <xf numFmtId="164" fontId="7" fillId="10" borderId="1" xfId="1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0" fontId="7" fillId="12" borderId="1" xfId="0" applyFont="1" applyFill="1" applyBorder="1" applyAlignment="1">
      <alignment vertical="center"/>
    </xf>
    <xf numFmtId="164" fontId="7" fillId="12" borderId="1" xfId="1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43" fontId="7" fillId="4" borderId="1" xfId="0" applyNumberFormat="1" applyFont="1" applyFill="1" applyBorder="1" applyAlignment="1">
      <alignment vertical="center"/>
    </xf>
    <xf numFmtId="164" fontId="7" fillId="12" borderId="1" xfId="0" applyNumberFormat="1" applyFont="1" applyFill="1" applyBorder="1" applyAlignment="1">
      <alignment vertical="center"/>
    </xf>
    <xf numFmtId="43" fontId="7" fillId="1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164" fontId="7" fillId="11" borderId="1" xfId="1" applyNumberFormat="1" applyFont="1" applyFill="1" applyBorder="1" applyAlignment="1">
      <alignment vertical="center"/>
    </xf>
    <xf numFmtId="164" fontId="7" fillId="11" borderId="1" xfId="0" applyNumberFormat="1" applyFont="1" applyFill="1" applyBorder="1" applyAlignment="1">
      <alignment vertical="center"/>
    </xf>
    <xf numFmtId="3" fontId="7" fillId="9" borderId="1" xfId="0" applyNumberFormat="1" applyFont="1" applyFill="1" applyBorder="1" applyAlignment="1">
      <alignment vertical="center"/>
    </xf>
    <xf numFmtId="164" fontId="7" fillId="9" borderId="1" xfId="1" applyNumberFormat="1" applyFont="1" applyFill="1" applyBorder="1" applyAlignment="1">
      <alignment vertical="center"/>
    </xf>
    <xf numFmtId="164" fontId="7" fillId="9" borderId="1" xfId="0" applyNumberFormat="1" applyFont="1" applyFill="1" applyBorder="1" applyAlignment="1">
      <alignment vertical="center"/>
    </xf>
    <xf numFmtId="164" fontId="7" fillId="10" borderId="1" xfId="0" applyNumberFormat="1" applyFont="1" applyFill="1" applyBorder="1" applyAlignment="1">
      <alignment vertical="center"/>
    </xf>
    <xf numFmtId="43" fontId="7" fillId="10" borderId="1" xfId="0" applyNumberFormat="1" applyFont="1" applyFill="1" applyBorder="1" applyAlignment="1">
      <alignment vertical="center"/>
    </xf>
    <xf numFmtId="164" fontId="7" fillId="10" borderId="12" xfId="1" applyNumberFormat="1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vertical="center"/>
    </xf>
    <xf numFmtId="164" fontId="7" fillId="10" borderId="1" xfId="1" applyNumberFormat="1" applyFont="1" applyFill="1" applyBorder="1" applyAlignment="1">
      <alignment vertical="center" wrapText="1"/>
    </xf>
    <xf numFmtId="49" fontId="11" fillId="0" borderId="19" xfId="0" quotePrefix="1" applyNumberFormat="1" applyFont="1" applyBorder="1" applyAlignment="1">
      <alignment horizontal="center" vertical="center"/>
    </xf>
    <xf numFmtId="164" fontId="4" fillId="9" borderId="1" xfId="1" applyNumberFormat="1" applyFont="1" applyFill="1" applyBorder="1" applyAlignment="1">
      <alignment horizontal="right" vertical="center" wrapText="1" readingOrder="1"/>
    </xf>
    <xf numFmtId="164" fontId="4" fillId="9" borderId="1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2" fillId="0" borderId="0" xfId="5" quotePrefix="1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10" fontId="7" fillId="9" borderId="1" xfId="2" applyNumberFormat="1" applyFont="1" applyFill="1" applyBorder="1" applyAlignment="1">
      <alignment vertical="center"/>
    </xf>
    <xf numFmtId="10" fontId="7" fillId="10" borderId="1" xfId="2" applyNumberFormat="1" applyFont="1" applyFill="1" applyBorder="1" applyAlignment="1">
      <alignment vertical="center"/>
    </xf>
    <xf numFmtId="10" fontId="7" fillId="0" borderId="1" xfId="2" applyNumberFormat="1" applyFont="1" applyBorder="1" applyAlignment="1">
      <alignment vertical="center"/>
    </xf>
    <xf numFmtId="10" fontId="7" fillId="4" borderId="1" xfId="2" applyNumberFormat="1" applyFont="1" applyFill="1" applyBorder="1" applyAlignment="1">
      <alignment vertical="center"/>
    </xf>
    <xf numFmtId="10" fontId="7" fillId="12" borderId="1" xfId="2" applyNumberFormat="1" applyFont="1" applyFill="1" applyBorder="1" applyAlignment="1">
      <alignment vertical="center"/>
    </xf>
    <xf numFmtId="10" fontId="5" fillId="0" borderId="1" xfId="2" applyNumberFormat="1" applyFont="1" applyBorder="1" applyAlignment="1">
      <alignment vertical="center"/>
    </xf>
    <xf numFmtId="10" fontId="7" fillId="11" borderId="1" xfId="2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wrapText="1" readingOrder="1"/>
    </xf>
    <xf numFmtId="49" fontId="11" fillId="0" borderId="1" xfId="0" quotePrefix="1" applyNumberFormat="1" applyFont="1" applyBorder="1" applyAlignment="1">
      <alignment horizontal="center" vertical="center" wrapText="1"/>
    </xf>
    <xf numFmtId="10" fontId="5" fillId="0" borderId="1" xfId="2" applyNumberFormat="1" applyFont="1" applyBorder="1"/>
    <xf numFmtId="10" fontId="7" fillId="9" borderId="1" xfId="2" applyNumberFormat="1" applyFont="1" applyFill="1" applyBorder="1"/>
    <xf numFmtId="10" fontId="7" fillId="0" borderId="1" xfId="2" applyNumberFormat="1" applyFont="1" applyBorder="1"/>
    <xf numFmtId="10" fontId="7" fillId="10" borderId="1" xfId="2" applyNumberFormat="1" applyFont="1" applyFill="1" applyBorder="1"/>
    <xf numFmtId="10" fontId="7" fillId="4" borderId="1" xfId="2" applyNumberFormat="1" applyFont="1" applyFill="1" applyBorder="1"/>
    <xf numFmtId="10" fontId="7" fillId="14" borderId="1" xfId="2" applyNumberFormat="1" applyFont="1" applyFill="1" applyBorder="1"/>
    <xf numFmtId="10" fontId="7" fillId="12" borderId="1" xfId="2" applyNumberFormat="1" applyFont="1" applyFill="1" applyBorder="1"/>
    <xf numFmtId="164" fontId="11" fillId="0" borderId="0" xfId="1" applyNumberFormat="1" applyFont="1" applyAlignment="1">
      <alignment horizontal="left" vertical="center"/>
    </xf>
    <xf numFmtId="164" fontId="12" fillId="0" borderId="0" xfId="1" applyNumberFormat="1" applyFont="1" applyBorder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164" fontId="5" fillId="0" borderId="0" xfId="1" applyNumberFormat="1" applyFont="1" applyBorder="1"/>
    <xf numFmtId="164" fontId="4" fillId="0" borderId="12" xfId="1" applyNumberFormat="1" applyFont="1" applyBorder="1" applyAlignment="1">
      <alignment horizontal="center" vertical="center" wrapText="1" readingOrder="1"/>
    </xf>
    <xf numFmtId="164" fontId="4" fillId="0" borderId="12" xfId="1" applyNumberFormat="1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3" fontId="5" fillId="0" borderId="1" xfId="1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164" fontId="5" fillId="0" borderId="0" xfId="1" applyNumberFormat="1" applyFont="1"/>
    <xf numFmtId="164" fontId="0" fillId="0" borderId="0" xfId="0" applyNumberFormat="1"/>
    <xf numFmtId="164" fontId="7" fillId="10" borderId="1" xfId="1" applyNumberFormat="1" applyFont="1" applyFill="1" applyBorder="1" applyAlignment="1">
      <alignment horizontal="center" vertical="center"/>
    </xf>
    <xf numFmtId="10" fontId="7" fillId="10" borderId="1" xfId="2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10" fontId="5" fillId="2" borderId="1" xfId="2" applyNumberFormat="1" applyFont="1" applyFill="1" applyBorder="1"/>
    <xf numFmtId="0" fontId="5" fillId="2" borderId="0" xfId="0" applyFont="1" applyFill="1"/>
    <xf numFmtId="164" fontId="5" fillId="2" borderId="1" xfId="0" applyNumberFormat="1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2" xfId="0" applyFont="1" applyBorder="1" applyAlignment="1">
      <alignment horizontal="center" vertical="center" wrapText="1" readingOrder="1"/>
    </xf>
    <xf numFmtId="0" fontId="20" fillId="9" borderId="3" xfId="0" quotePrefix="1" applyFont="1" applyFill="1" applyBorder="1" applyAlignment="1">
      <alignment horizontal="center" vertical="center" wrapText="1" readingOrder="1"/>
    </xf>
    <xf numFmtId="0" fontId="20" fillId="9" borderId="4" xfId="0" quotePrefix="1" applyFont="1" applyFill="1" applyBorder="1" applyAlignment="1">
      <alignment horizontal="center" vertical="center" wrapText="1" readingOrder="1"/>
    </xf>
    <xf numFmtId="0" fontId="23" fillId="9" borderId="4" xfId="0" applyFont="1" applyFill="1" applyBorder="1" applyAlignment="1">
      <alignment horizontal="center" vertical="center" wrapText="1" readingOrder="1"/>
    </xf>
    <xf numFmtId="0" fontId="23" fillId="9" borderId="9" xfId="0" applyFont="1" applyFill="1" applyBorder="1" applyAlignment="1">
      <alignment horizontal="center" vertical="center" wrapText="1" readingOrder="1"/>
    </xf>
    <xf numFmtId="0" fontId="20" fillId="9" borderId="10" xfId="0" applyFont="1" applyFill="1" applyBorder="1" applyAlignment="1">
      <alignment horizontal="left" vertical="center" wrapText="1" readingOrder="1"/>
    </xf>
    <xf numFmtId="3" fontId="20" fillId="9" borderId="10" xfId="0" applyNumberFormat="1" applyFont="1" applyFill="1" applyBorder="1" applyAlignment="1">
      <alignment horizontal="right" vertical="center" wrapText="1" readingOrder="1"/>
    </xf>
    <xf numFmtId="164" fontId="20" fillId="9" borderId="10" xfId="1" applyNumberFormat="1" applyFont="1" applyFill="1" applyBorder="1" applyAlignment="1">
      <alignment horizontal="right" vertical="center" wrapText="1" readingOrder="1"/>
    </xf>
    <xf numFmtId="0" fontId="20" fillId="0" borderId="5" xfId="0" applyFont="1" applyBorder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6" xfId="0" applyFont="1" applyBorder="1" applyAlignment="1">
      <alignment horizontal="center" vertical="center" wrapText="1" readingOrder="1"/>
    </xf>
    <xf numFmtId="0" fontId="23" fillId="0" borderId="11" xfId="0" applyFont="1" applyBorder="1" applyAlignment="1">
      <alignment horizontal="center" vertical="center" wrapText="1" readingOrder="1"/>
    </xf>
    <xf numFmtId="0" fontId="23" fillId="0" borderId="12" xfId="0" applyFont="1" applyBorder="1" applyAlignment="1">
      <alignment horizontal="center" vertical="center" wrapText="1" readingOrder="1"/>
    </xf>
    <xf numFmtId="164" fontId="23" fillId="0" borderId="12" xfId="1" applyNumberFormat="1" applyFont="1" applyBorder="1" applyAlignment="1">
      <alignment horizontal="right" vertical="center" wrapText="1" readingOrder="1"/>
    </xf>
    <xf numFmtId="164" fontId="20" fillId="0" borderId="12" xfId="1" applyNumberFormat="1" applyFont="1" applyBorder="1" applyAlignment="1">
      <alignment horizontal="right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quotePrefix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vertical="center" wrapText="1"/>
    </xf>
    <xf numFmtId="3" fontId="24" fillId="3" borderId="12" xfId="0" applyNumberFormat="1" applyFont="1" applyFill="1" applyBorder="1" applyAlignment="1">
      <alignment vertical="center" wrapText="1"/>
    </xf>
    <xf numFmtId="164" fontId="24" fillId="3" borderId="12" xfId="1" applyNumberFormat="1" applyFont="1" applyFill="1" applyBorder="1" applyAlignment="1">
      <alignment horizontal="right" vertical="center" wrapText="1"/>
    </xf>
    <xf numFmtId="164" fontId="24" fillId="3" borderId="12" xfId="1" applyNumberFormat="1" applyFont="1" applyFill="1" applyBorder="1" applyAlignment="1">
      <alignment vertical="center" wrapText="1"/>
    </xf>
    <xf numFmtId="164" fontId="24" fillId="3" borderId="12" xfId="1" applyNumberFormat="1" applyFont="1" applyFill="1" applyBorder="1" applyAlignment="1">
      <alignment horizontal="right" vertical="center"/>
    </xf>
    <xf numFmtId="3" fontId="24" fillId="3" borderId="1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vertical="center" wrapText="1"/>
    </xf>
    <xf numFmtId="3" fontId="24" fillId="2" borderId="12" xfId="0" applyNumberFormat="1" applyFont="1" applyFill="1" applyBorder="1" applyAlignment="1">
      <alignment vertical="center" wrapText="1"/>
    </xf>
    <xf numFmtId="164" fontId="24" fillId="2" borderId="12" xfId="1" applyNumberFormat="1" applyFont="1" applyFill="1" applyBorder="1" applyAlignment="1">
      <alignment horizontal="right" vertical="center" wrapText="1"/>
    </xf>
    <xf numFmtId="164" fontId="24" fillId="2" borderId="12" xfId="1" applyNumberFormat="1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quotePrefix="1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3" fontId="24" fillId="4" borderId="1" xfId="0" applyNumberFormat="1" applyFont="1" applyFill="1" applyBorder="1" applyAlignment="1">
      <alignment vertical="center"/>
    </xf>
    <xf numFmtId="164" fontId="24" fillId="4" borderId="1" xfId="1" applyNumberFormat="1" applyFont="1" applyFill="1" applyBorder="1" applyAlignment="1">
      <alignment horizontal="right" vertical="center"/>
    </xf>
    <xf numFmtId="164" fontId="24" fillId="4" borderId="12" xfId="1" applyNumberFormat="1" applyFont="1" applyFill="1" applyBorder="1" applyAlignment="1">
      <alignment horizontal="right" vertical="center"/>
    </xf>
    <xf numFmtId="3" fontId="24" fillId="4" borderId="12" xfId="0" applyNumberFormat="1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3" fontId="24" fillId="2" borderId="1" xfId="0" applyNumberFormat="1" applyFont="1" applyFill="1" applyBorder="1" applyAlignment="1">
      <alignment vertical="center"/>
    </xf>
    <xf numFmtId="164" fontId="21" fillId="2" borderId="1" xfId="1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quotePrefix="1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3" fontId="24" fillId="5" borderId="1" xfId="0" applyNumberFormat="1" applyFont="1" applyFill="1" applyBorder="1" applyAlignment="1">
      <alignment vertical="center"/>
    </xf>
    <xf numFmtId="164" fontId="24" fillId="5" borderId="1" xfId="1" applyNumberFormat="1" applyFont="1" applyFill="1" applyBorder="1" applyAlignment="1">
      <alignment horizontal="right" vertical="center"/>
    </xf>
    <xf numFmtId="0" fontId="24" fillId="2" borderId="8" xfId="0" quotePrefix="1" applyFont="1" applyFill="1" applyBorder="1" applyAlignment="1">
      <alignment horizontal="center" vertical="center"/>
    </xf>
    <xf numFmtId="164" fontId="24" fillId="2" borderId="1" xfId="1" applyNumberFormat="1" applyFont="1" applyFill="1" applyBorder="1" applyAlignment="1">
      <alignment horizontal="right" vertical="center"/>
    </xf>
    <xf numFmtId="164" fontId="24" fillId="0" borderId="1" xfId="1" applyNumberFormat="1" applyFont="1" applyBorder="1" applyAlignment="1">
      <alignment horizontal="right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quotePrefix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164" fontId="21" fillId="0" borderId="1" xfId="1" applyNumberFormat="1" applyFont="1" applyBorder="1" applyAlignment="1">
      <alignment horizontal="right" vertical="center"/>
    </xf>
    <xf numFmtId="3" fontId="21" fillId="2" borderId="1" xfId="0" applyNumberFormat="1" applyFont="1" applyFill="1" applyBorder="1" applyAlignment="1">
      <alignment vertical="center"/>
    </xf>
    <xf numFmtId="164" fontId="21" fillId="0" borderId="0" xfId="1" applyNumberFormat="1" applyFont="1" applyAlignment="1">
      <alignment vertical="center"/>
    </xf>
    <xf numFmtId="0" fontId="21" fillId="0" borderId="8" xfId="0" quotePrefix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64" fontId="21" fillId="5" borderId="1" xfId="1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quotePrefix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2" borderId="12" xfId="0" applyNumberFormat="1" applyFont="1" applyFill="1" applyBorder="1" applyAlignment="1">
      <alignment vertical="center"/>
    </xf>
    <xf numFmtId="0" fontId="24" fillId="12" borderId="7" xfId="0" applyFont="1" applyFill="1" applyBorder="1" applyAlignment="1">
      <alignment horizontal="center" vertical="center"/>
    </xf>
    <xf numFmtId="0" fontId="24" fillId="12" borderId="8" xfId="0" quotePrefix="1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/>
    </xf>
    <xf numFmtId="0" fontId="21" fillId="12" borderId="8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vertical="center" wrapText="1"/>
    </xf>
    <xf numFmtId="3" fontId="24" fillId="12" borderId="1" xfId="0" applyNumberFormat="1" applyFont="1" applyFill="1" applyBorder="1" applyAlignment="1">
      <alignment vertical="center"/>
    </xf>
    <xf numFmtId="164" fontId="24" fillId="12" borderId="1" xfId="1" applyNumberFormat="1" applyFont="1" applyFill="1" applyBorder="1" applyAlignment="1">
      <alignment horizontal="right" vertical="center"/>
    </xf>
    <xf numFmtId="164" fontId="21" fillId="0" borderId="12" xfId="1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vertical="center"/>
    </xf>
    <xf numFmtId="0" fontId="21" fillId="0" borderId="13" xfId="0" quotePrefix="1" applyFont="1" applyBorder="1" applyAlignment="1">
      <alignment horizontal="center" vertical="center"/>
    </xf>
    <xf numFmtId="164" fontId="24" fillId="4" borderId="1" xfId="0" applyNumberFormat="1" applyFont="1" applyFill="1" applyBorder="1" applyAlignment="1">
      <alignment vertical="center"/>
    </xf>
    <xf numFmtId="43" fontId="24" fillId="0" borderId="1" xfId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3" fontId="21" fillId="0" borderId="19" xfId="0" applyNumberFormat="1" applyFont="1" applyBorder="1" applyAlignment="1">
      <alignment vertical="center"/>
    </xf>
    <xf numFmtId="164" fontId="21" fillId="0" borderId="19" xfId="1" applyNumberFormat="1" applyFont="1" applyBorder="1" applyAlignment="1">
      <alignment horizontal="right" vertical="center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quotePrefix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3" fontId="24" fillId="3" borderId="1" xfId="0" applyNumberFormat="1" applyFont="1" applyFill="1" applyBorder="1" applyAlignment="1">
      <alignment vertical="center" wrapText="1"/>
    </xf>
    <xf numFmtId="164" fontId="24" fillId="3" borderId="1" xfId="1" applyNumberFormat="1" applyFont="1" applyFill="1" applyBorder="1" applyAlignment="1">
      <alignment horizontal="right" vertical="center" wrapText="1"/>
    </xf>
    <xf numFmtId="164" fontId="24" fillId="3" borderId="1" xfId="1" applyNumberFormat="1" applyFont="1" applyFill="1" applyBorder="1" applyAlignment="1">
      <alignment vertical="center" wrapText="1"/>
    </xf>
    <xf numFmtId="164" fontId="24" fillId="3" borderId="1" xfId="1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>
      <alignment vertical="center"/>
    </xf>
    <xf numFmtId="164" fontId="24" fillId="0" borderId="19" xfId="1" applyNumberFormat="1" applyFont="1" applyBorder="1" applyAlignment="1">
      <alignment horizontal="right" vertical="center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quotePrefix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3" fontId="24" fillId="4" borderId="7" xfId="0" applyNumberFormat="1" applyFont="1" applyFill="1" applyBorder="1" applyAlignment="1">
      <alignment vertical="center" wrapText="1"/>
    </xf>
    <xf numFmtId="164" fontId="24" fillId="4" borderId="7" xfId="1" applyNumberFormat="1" applyFont="1" applyFill="1" applyBorder="1" applyAlignment="1">
      <alignment vertical="center" wrapText="1"/>
    </xf>
    <xf numFmtId="164" fontId="24" fillId="4" borderId="7" xfId="0" applyNumberFormat="1" applyFont="1" applyFill="1" applyBorder="1" applyAlignment="1">
      <alignment vertical="center" wrapText="1"/>
    </xf>
    <xf numFmtId="164" fontId="24" fillId="4" borderId="1" xfId="1" applyNumberFormat="1" applyFont="1" applyFill="1" applyBorder="1" applyAlignment="1">
      <alignment horizontal="right" vertical="center" wrapText="1"/>
    </xf>
    <xf numFmtId="164" fontId="21" fillId="0" borderId="19" xfId="1" applyNumberFormat="1" applyFont="1" applyBorder="1" applyAlignment="1">
      <alignment vertical="center"/>
    </xf>
    <xf numFmtId="164" fontId="21" fillId="0" borderId="19" xfId="0" applyNumberFormat="1" applyFont="1" applyBorder="1" applyAlignment="1">
      <alignment vertical="center"/>
    </xf>
    <xf numFmtId="0" fontId="24" fillId="5" borderId="7" xfId="0" applyFont="1" applyFill="1" applyBorder="1" applyAlignment="1">
      <alignment horizontal="center" vertical="center" wrapText="1"/>
    </xf>
    <xf numFmtId="0" fontId="24" fillId="5" borderId="8" xfId="0" quotePrefix="1" applyFont="1" applyFill="1" applyBorder="1" applyAlignment="1">
      <alignment horizontal="center" vertical="center" wrapText="1"/>
    </xf>
    <xf numFmtId="0" fontId="24" fillId="5" borderId="15" xfId="0" quotePrefix="1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164" fontId="24" fillId="5" borderId="1" xfId="1" applyNumberFormat="1" applyFont="1" applyFill="1" applyBorder="1" applyAlignment="1">
      <alignment vertical="center"/>
    </xf>
    <xf numFmtId="164" fontId="24" fillId="5" borderId="1" xfId="0" applyNumberFormat="1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quotePrefix="1" applyFont="1" applyFill="1" applyBorder="1" applyAlignment="1">
      <alignment horizontal="center" vertical="center" wrapText="1"/>
    </xf>
    <xf numFmtId="3" fontId="24" fillId="0" borderId="19" xfId="0" applyNumberFormat="1" applyFont="1" applyBorder="1" applyAlignment="1">
      <alignment vertical="center"/>
    </xf>
    <xf numFmtId="164" fontId="24" fillId="0" borderId="19" xfId="1" applyNumberFormat="1" applyFont="1" applyBorder="1" applyAlignment="1">
      <alignment vertical="center"/>
    </xf>
    <xf numFmtId="164" fontId="24" fillId="0" borderId="19" xfId="0" applyNumberFormat="1" applyFont="1" applyBorder="1" applyAlignment="1">
      <alignment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quotePrefix="1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3" fontId="24" fillId="4" borderId="1" xfId="0" applyNumberFormat="1" applyFont="1" applyFill="1" applyBorder="1" applyAlignment="1">
      <alignment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164" fontId="24" fillId="0" borderId="1" xfId="1" applyNumberFormat="1" applyFont="1" applyBorder="1" applyAlignment="1">
      <alignment vertical="center"/>
    </xf>
    <xf numFmtId="3" fontId="21" fillId="0" borderId="17" xfId="0" applyNumberFormat="1" applyFont="1" applyBorder="1" applyAlignment="1">
      <alignment vertical="center"/>
    </xf>
    <xf numFmtId="0" fontId="21" fillId="2" borderId="8" xfId="0" applyFont="1" applyFill="1" applyBorder="1" applyAlignment="1">
      <alignment horizontal="center" vertical="center" wrapText="1"/>
    </xf>
    <xf numFmtId="164" fontId="24" fillId="5" borderId="1" xfId="1" applyNumberFormat="1" applyFont="1" applyFill="1" applyBorder="1" applyAlignment="1">
      <alignment horizontal="right" vertical="center" wrapText="1"/>
    </xf>
    <xf numFmtId="0" fontId="24" fillId="2" borderId="15" xfId="0" quotePrefix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5" xfId="0" quotePrefix="1" applyFont="1" applyFill="1" applyBorder="1" applyAlignment="1">
      <alignment horizontal="center" vertical="center"/>
    </xf>
    <xf numFmtId="164" fontId="21" fillId="0" borderId="12" xfId="1" applyNumberFormat="1" applyFont="1" applyBorder="1" applyAlignment="1">
      <alignment vertical="center"/>
    </xf>
    <xf numFmtId="164" fontId="24" fillId="4" borderId="1" xfId="1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164" fontId="24" fillId="0" borderId="12" xfId="1" applyNumberFormat="1" applyFont="1" applyBorder="1" applyAlignment="1">
      <alignment vertical="center"/>
    </xf>
    <xf numFmtId="164" fontId="24" fillId="0" borderId="12" xfId="1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 wrapText="1"/>
    </xf>
    <xf numFmtId="0" fontId="21" fillId="0" borderId="6" xfId="0" quotePrefix="1" applyFont="1" applyBorder="1" applyAlignment="1">
      <alignment horizontal="center" vertical="center"/>
    </xf>
    <xf numFmtId="0" fontId="21" fillId="0" borderId="11" xfId="0" quotePrefix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1" fillId="2" borderId="13" xfId="0" quotePrefix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64" fontId="24" fillId="2" borderId="12" xfId="1" applyNumberFormat="1" applyFont="1" applyFill="1" applyBorder="1" applyAlignment="1">
      <alignment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3" fontId="24" fillId="0" borderId="12" xfId="0" applyNumberFormat="1" applyFont="1" applyBorder="1" applyAlignment="1">
      <alignment vertical="center"/>
    </xf>
    <xf numFmtId="164" fontId="24" fillId="3" borderId="1" xfId="0" applyNumberFormat="1" applyFont="1" applyFill="1" applyBorder="1" applyAlignment="1">
      <alignment vertical="center"/>
    </xf>
    <xf numFmtId="164" fontId="24" fillId="0" borderId="20" xfId="1" applyNumberFormat="1" applyFont="1" applyBorder="1" applyAlignment="1">
      <alignment vertical="center"/>
    </xf>
    <xf numFmtId="164" fontId="21" fillId="0" borderId="20" xfId="1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164" fontId="23" fillId="0" borderId="1" xfId="1" applyNumberFormat="1" applyFont="1" applyBorder="1" applyAlignment="1">
      <alignment horizontal="left" vertical="center" wrapText="1" readingOrder="1"/>
    </xf>
    <xf numFmtId="164" fontId="23" fillId="0" borderId="1" xfId="1" applyNumberFormat="1" applyFont="1" applyBorder="1" applyAlignment="1">
      <alignment horizontal="left" vertical="center"/>
    </xf>
    <xf numFmtId="0" fontId="21" fillId="0" borderId="0" xfId="0" applyFont="1" applyBorder="1"/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6" fillId="0" borderId="1" xfId="3" quotePrefix="1" applyFont="1" applyBorder="1" applyAlignment="1">
      <alignment horizontal="left" vertical="center"/>
    </xf>
    <xf numFmtId="164" fontId="23" fillId="0" borderId="1" xfId="1" applyNumberFormat="1" applyFont="1" applyBorder="1" applyAlignment="1">
      <alignment horizontal="left" vertical="center" wrapText="1"/>
    </xf>
    <xf numFmtId="164" fontId="23" fillId="2" borderId="1" xfId="1" applyNumberFormat="1" applyFont="1" applyFill="1" applyBorder="1" applyAlignment="1">
      <alignment horizontal="left" vertical="center" wrapText="1"/>
    </xf>
    <xf numFmtId="0" fontId="27" fillId="0" borderId="1" xfId="3" applyFont="1" applyBorder="1" applyAlignment="1">
      <alignment horizontal="left" vertical="center"/>
    </xf>
    <xf numFmtId="164" fontId="23" fillId="0" borderId="18" xfId="0" applyNumberFormat="1" applyFont="1" applyBorder="1" applyAlignment="1">
      <alignment horizontal="left" vertical="center"/>
    </xf>
    <xf numFmtId="164" fontId="23" fillId="0" borderId="18" xfId="1" applyNumberFormat="1" applyFont="1" applyBorder="1" applyAlignment="1">
      <alignment horizontal="right" vertical="center"/>
    </xf>
    <xf numFmtId="0" fontId="27" fillId="0" borderId="1" xfId="3" quotePrefix="1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6" fillId="6" borderId="1" xfId="3" applyFont="1" applyFill="1" applyBorder="1" applyAlignment="1">
      <alignment horizontal="left" vertical="center"/>
    </xf>
    <xf numFmtId="164" fontId="20" fillId="7" borderId="1" xfId="1" applyNumberFormat="1" applyFont="1" applyFill="1" applyBorder="1" applyAlignment="1">
      <alignment horizontal="left" vertical="center" wrapText="1" readingOrder="1"/>
    </xf>
    <xf numFmtId="164" fontId="20" fillId="7" borderId="1" xfId="1" applyNumberFormat="1" applyFont="1" applyFill="1" applyBorder="1" applyAlignment="1">
      <alignment horizontal="left" vertical="center"/>
    </xf>
    <xf numFmtId="164" fontId="21" fillId="0" borderId="0" xfId="1" applyNumberFormat="1" applyFont="1"/>
    <xf numFmtId="0" fontId="23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64" fontId="20" fillId="0" borderId="1" xfId="1" applyNumberFormat="1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left" vertical="center"/>
    </xf>
    <xf numFmtId="164" fontId="21" fillId="0" borderId="0" xfId="0" applyNumberFormat="1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top"/>
    </xf>
    <xf numFmtId="164" fontId="23" fillId="0" borderId="0" xfId="0" applyNumberFormat="1" applyFont="1" applyAlignment="1">
      <alignment vertical="top"/>
    </xf>
    <xf numFmtId="49" fontId="27" fillId="0" borderId="0" xfId="3" applyNumberFormat="1" applyFont="1" applyBorder="1" applyAlignment="1">
      <alignment horizontal="center"/>
    </xf>
    <xf numFmtId="164" fontId="27" fillId="0" borderId="0" xfId="3" applyNumberFormat="1" applyFont="1" applyFill="1" applyBorder="1" applyAlignment="1"/>
    <xf numFmtId="164" fontId="27" fillId="0" borderId="0" xfId="3" applyNumberFormat="1" applyFont="1" applyAlignment="1"/>
    <xf numFmtId="164" fontId="26" fillId="0" borderId="0" xfId="3" applyNumberFormat="1" applyFont="1" applyAlignment="1"/>
    <xf numFmtId="164" fontId="27" fillId="0" borderId="0" xfId="3" applyNumberFormat="1" applyFont="1" applyBorder="1" applyAlignment="1">
      <alignment horizontal="center"/>
    </xf>
    <xf numFmtId="41" fontId="26" fillId="0" borderId="0" xfId="0" applyNumberFormat="1" applyFont="1" applyBorder="1" applyAlignment="1">
      <alignment horizontal="center"/>
    </xf>
    <xf numFmtId="41" fontId="27" fillId="0" borderId="0" xfId="0" applyNumberFormat="1" applyFont="1" applyAlignment="1">
      <alignment horizont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quotePrefix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164" fontId="21" fillId="0" borderId="20" xfId="1" applyNumberFormat="1" applyFont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6" xfId="0" quotePrefix="1" applyFont="1" applyFill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4" fillId="2" borderId="6" xfId="0" quotePrefix="1" applyFont="1" applyFill="1" applyBorder="1" applyAlignment="1">
      <alignment horizontal="center" vertical="center"/>
    </xf>
    <xf numFmtId="3" fontId="7" fillId="14" borderId="1" xfId="0" applyNumberFormat="1" applyFont="1" applyFill="1" applyBorder="1" applyAlignment="1">
      <alignment vertical="center"/>
    </xf>
    <xf numFmtId="164" fontId="5" fillId="14" borderId="1" xfId="1" applyNumberFormat="1" applyFont="1" applyFill="1" applyBorder="1" applyAlignment="1">
      <alignment vertical="center"/>
    </xf>
    <xf numFmtId="10" fontId="5" fillId="14" borderId="1" xfId="2" applyNumberFormat="1" applyFont="1" applyFill="1" applyBorder="1"/>
    <xf numFmtId="0" fontId="5" fillId="0" borderId="8" xfId="0" applyFont="1" applyBorder="1" applyAlignment="1">
      <alignment vertical="center" wrapText="1"/>
    </xf>
    <xf numFmtId="0" fontId="1" fillId="0" borderId="0" xfId="0" applyFont="1"/>
    <xf numFmtId="0" fontId="21" fillId="15" borderId="1" xfId="0" applyFont="1" applyFill="1" applyBorder="1" applyAlignment="1">
      <alignment vertical="center"/>
    </xf>
    <xf numFmtId="3" fontId="21" fillId="15" borderId="1" xfId="0" applyNumberFormat="1" applyFont="1" applyFill="1" applyBorder="1" applyAlignment="1">
      <alignment vertical="center"/>
    </xf>
    <xf numFmtId="164" fontId="21" fillId="15" borderId="1" xfId="1" applyNumberFormat="1" applyFont="1" applyFill="1" applyBorder="1" applyAlignment="1">
      <alignment horizontal="right" vertical="center"/>
    </xf>
    <xf numFmtId="3" fontId="21" fillId="15" borderId="0" xfId="0" applyNumberFormat="1" applyFont="1" applyFill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164" fontId="24" fillId="2" borderId="0" xfId="1" applyNumberFormat="1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4" fillId="9" borderId="7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164" fontId="24" fillId="9" borderId="1" xfId="1" applyNumberFormat="1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 wrapText="1"/>
    </xf>
    <xf numFmtId="164" fontId="24" fillId="2" borderId="15" xfId="1" applyNumberFormat="1" applyFont="1" applyFill="1" applyBorder="1" applyAlignment="1">
      <alignment vertical="center"/>
    </xf>
    <xf numFmtId="164" fontId="27" fillId="0" borderId="0" xfId="3" applyNumberFormat="1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4" fillId="2" borderId="13" xfId="0" quotePrefix="1" applyFont="1" applyFill="1" applyBorder="1" applyAlignment="1">
      <alignment horizontal="center" vertical="center"/>
    </xf>
    <xf numFmtId="0" fontId="29" fillId="0" borderId="0" xfId="0" applyFont="1"/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164" fontId="7" fillId="0" borderId="0" xfId="0" applyNumberFormat="1" applyFont="1"/>
    <xf numFmtId="164" fontId="21" fillId="16" borderId="19" xfId="1" applyNumberFormat="1" applyFont="1" applyFill="1" applyBorder="1" applyAlignment="1">
      <alignment horizontal="right" vertical="center"/>
    </xf>
    <xf numFmtId="164" fontId="21" fillId="16" borderId="1" xfId="1" applyNumberFormat="1" applyFont="1" applyFill="1" applyBorder="1" applyAlignment="1">
      <alignment horizontal="right" vertical="center"/>
    </xf>
    <xf numFmtId="164" fontId="21" fillId="16" borderId="12" xfId="1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164" fontId="21" fillId="4" borderId="1" xfId="1" applyNumberFormat="1" applyFont="1" applyFill="1" applyBorder="1" applyAlignment="1">
      <alignment horizontal="right" vertical="center"/>
    </xf>
    <xf numFmtId="164" fontId="21" fillId="0" borderId="0" xfId="1" applyNumberFormat="1" applyFont="1" applyBorder="1"/>
    <xf numFmtId="49" fontId="2" fillId="0" borderId="0" xfId="0" applyNumberFormat="1" applyFont="1" applyAlignment="1">
      <alignment horizontal="center"/>
    </xf>
    <xf numFmtId="49" fontId="2" fillId="0" borderId="0" xfId="3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wrapText="1" readingOrder="1"/>
    </xf>
    <xf numFmtId="41" fontId="11" fillId="0" borderId="19" xfId="0" applyNumberFormat="1" applyFont="1" applyBorder="1" applyAlignment="1">
      <alignment horizontal="center" vertical="center" wrapText="1"/>
    </xf>
    <xf numFmtId="41" fontId="11" fillId="0" borderId="20" xfId="0" applyNumberFormat="1" applyFont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41" fontId="11" fillId="13" borderId="14" xfId="0" applyNumberFormat="1" applyFont="1" applyFill="1" applyBorder="1" applyAlignment="1">
      <alignment horizontal="center" vertical="center" wrapText="1"/>
    </xf>
    <xf numFmtId="41" fontId="11" fillId="13" borderId="15" xfId="0" applyNumberFormat="1" applyFont="1" applyFill="1" applyBorder="1" applyAlignment="1">
      <alignment horizontal="center" vertical="center" wrapText="1"/>
    </xf>
    <xf numFmtId="41" fontId="11" fillId="13" borderId="16" xfId="0" applyNumberFormat="1" applyFont="1" applyFill="1" applyBorder="1" applyAlignment="1">
      <alignment horizontal="center" vertical="center" wrapText="1"/>
    </xf>
    <xf numFmtId="41" fontId="11" fillId="13" borderId="17" xfId="0" applyNumberFormat="1" applyFont="1" applyFill="1" applyBorder="1" applyAlignment="1">
      <alignment horizontal="center" vertical="center" wrapText="1"/>
    </xf>
    <xf numFmtId="41" fontId="11" fillId="13" borderId="0" xfId="0" applyNumberFormat="1" applyFont="1" applyFill="1" applyBorder="1" applyAlignment="1">
      <alignment horizontal="center" vertical="center" wrapText="1"/>
    </xf>
    <xf numFmtId="41" fontId="11" fillId="13" borderId="18" xfId="0" applyNumberFormat="1" applyFont="1" applyFill="1" applyBorder="1" applyAlignment="1">
      <alignment horizontal="center" vertical="center" wrapText="1"/>
    </xf>
    <xf numFmtId="41" fontId="11" fillId="13" borderId="5" xfId="0" applyNumberFormat="1" applyFont="1" applyFill="1" applyBorder="1" applyAlignment="1">
      <alignment horizontal="center" vertical="center" wrapText="1"/>
    </xf>
    <xf numFmtId="41" fontId="11" fillId="13" borderId="6" xfId="0" applyNumberFormat="1" applyFont="1" applyFill="1" applyBorder="1" applyAlignment="1">
      <alignment horizontal="center" vertical="center" wrapText="1"/>
    </xf>
    <xf numFmtId="41" fontId="11" fillId="13" borderId="11" xfId="0" applyNumberFormat="1" applyFont="1" applyFill="1" applyBorder="1" applyAlignment="1">
      <alignment horizontal="center" vertical="center" wrapText="1"/>
    </xf>
    <xf numFmtId="41" fontId="11" fillId="7" borderId="19" xfId="0" applyNumberFormat="1" applyFont="1" applyFill="1" applyBorder="1" applyAlignment="1">
      <alignment horizontal="center" vertical="center" wrapText="1"/>
    </xf>
    <xf numFmtId="41" fontId="11" fillId="7" borderId="20" xfId="0" applyNumberFormat="1" applyFont="1" applyFill="1" applyBorder="1" applyAlignment="1">
      <alignment horizontal="center" vertical="center" wrapText="1"/>
    </xf>
    <xf numFmtId="41" fontId="11" fillId="4" borderId="14" xfId="0" applyNumberFormat="1" applyFont="1" applyFill="1" applyBorder="1" applyAlignment="1">
      <alignment horizontal="center" vertical="center" wrapText="1"/>
    </xf>
    <xf numFmtId="41" fontId="11" fillId="4" borderId="15" xfId="0" applyNumberFormat="1" applyFont="1" applyFill="1" applyBorder="1" applyAlignment="1">
      <alignment horizontal="center" vertical="center" wrapText="1"/>
    </xf>
    <xf numFmtId="41" fontId="11" fillId="4" borderId="16" xfId="0" applyNumberFormat="1" applyFont="1" applyFill="1" applyBorder="1" applyAlignment="1">
      <alignment horizontal="center" vertical="center" wrapText="1"/>
    </xf>
    <xf numFmtId="41" fontId="11" fillId="4" borderId="17" xfId="0" applyNumberFormat="1" applyFont="1" applyFill="1" applyBorder="1" applyAlignment="1">
      <alignment horizontal="center" vertical="center" wrapText="1"/>
    </xf>
    <xf numFmtId="41" fontId="11" fillId="4" borderId="0" xfId="0" applyNumberFormat="1" applyFont="1" applyFill="1" applyBorder="1" applyAlignment="1">
      <alignment horizontal="center" vertical="center" wrapText="1"/>
    </xf>
    <xf numFmtId="41" fontId="11" fillId="4" borderId="18" xfId="0" applyNumberFormat="1" applyFont="1" applyFill="1" applyBorder="1" applyAlignment="1">
      <alignment horizontal="center" vertical="center" wrapText="1"/>
    </xf>
    <xf numFmtId="41" fontId="11" fillId="4" borderId="5" xfId="0" applyNumberFormat="1" applyFont="1" applyFill="1" applyBorder="1" applyAlignment="1">
      <alignment horizontal="center" vertical="center" wrapText="1"/>
    </xf>
    <xf numFmtId="41" fontId="11" fillId="4" borderId="6" xfId="0" applyNumberFormat="1" applyFont="1" applyFill="1" applyBorder="1" applyAlignment="1">
      <alignment horizontal="center" vertical="center" wrapText="1"/>
    </xf>
    <xf numFmtId="41" fontId="11" fillId="4" borderId="11" xfId="0" applyNumberFormat="1" applyFont="1" applyFill="1" applyBorder="1" applyAlignment="1">
      <alignment horizontal="center" vertical="center" wrapText="1"/>
    </xf>
    <xf numFmtId="41" fontId="11" fillId="8" borderId="14" xfId="0" applyNumberFormat="1" applyFont="1" applyFill="1" applyBorder="1" applyAlignment="1">
      <alignment horizontal="center" vertical="center" wrapText="1"/>
    </xf>
    <xf numFmtId="41" fontId="11" fillId="8" borderId="15" xfId="0" applyNumberFormat="1" applyFont="1" applyFill="1" applyBorder="1" applyAlignment="1">
      <alignment horizontal="center" vertical="center" wrapText="1"/>
    </xf>
    <xf numFmtId="41" fontId="11" fillId="8" borderId="16" xfId="0" applyNumberFormat="1" applyFont="1" applyFill="1" applyBorder="1" applyAlignment="1">
      <alignment horizontal="center" vertical="center" wrapText="1"/>
    </xf>
    <xf numFmtId="41" fontId="11" fillId="8" borderId="17" xfId="0" applyNumberFormat="1" applyFont="1" applyFill="1" applyBorder="1" applyAlignment="1">
      <alignment horizontal="center" vertical="center" wrapText="1"/>
    </xf>
    <xf numFmtId="41" fontId="11" fillId="8" borderId="0" xfId="0" applyNumberFormat="1" applyFont="1" applyFill="1" applyBorder="1" applyAlignment="1">
      <alignment horizontal="center" vertical="center" wrapText="1"/>
    </xf>
    <xf numFmtId="41" fontId="11" fillId="8" borderId="18" xfId="0" applyNumberFormat="1" applyFont="1" applyFill="1" applyBorder="1" applyAlignment="1">
      <alignment horizontal="center" vertical="center" wrapText="1"/>
    </xf>
    <xf numFmtId="41" fontId="11" fillId="8" borderId="5" xfId="0" applyNumberFormat="1" applyFont="1" applyFill="1" applyBorder="1" applyAlignment="1">
      <alignment horizontal="center" vertical="center" wrapText="1"/>
    </xf>
    <xf numFmtId="41" fontId="11" fillId="8" borderId="6" xfId="0" applyNumberFormat="1" applyFont="1" applyFill="1" applyBorder="1" applyAlignment="1">
      <alignment horizontal="center" vertical="center" wrapText="1"/>
    </xf>
    <xf numFmtId="41" fontId="11" fillId="8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readingOrder="1"/>
    </xf>
    <xf numFmtId="0" fontId="23" fillId="0" borderId="0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 readingOrder="1"/>
    </xf>
    <xf numFmtId="164" fontId="27" fillId="0" borderId="0" xfId="3" applyNumberFormat="1" applyFont="1" applyBorder="1" applyAlignment="1">
      <alignment horizontal="center"/>
    </xf>
    <xf numFmtId="0" fontId="28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0" borderId="17" xfId="0" applyFont="1" applyBorder="1" applyAlignment="1">
      <alignment horizontal="center" vertical="center" wrapText="1" readingOrder="1"/>
    </xf>
    <xf numFmtId="0" fontId="20" fillId="0" borderId="0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readingOrder="1"/>
    </xf>
  </cellXfs>
  <cellStyles count="6">
    <cellStyle name="Comma" xfId="1" builtinId="3"/>
    <cellStyle name="Comma [0]" xfId="5" builtinId="6"/>
    <cellStyle name="Normal" xfId="0" builtinId="0"/>
    <cellStyle name="Normal 2 2 2" xfId="3"/>
    <cellStyle name="Normal 2 3 2 3" xfId="4"/>
    <cellStyle name="Percent" xfId="2" builtinId="5"/>
  </cellStyles>
  <dxfs count="0"/>
  <tableStyles count="0" defaultTableStyle="TableStyleMedium9" defaultPivotStyle="PivotStyleLight16"/>
  <colors>
    <mruColors>
      <color rgb="FFFCFEB2"/>
      <color rgb="FFC80B06"/>
      <color rgb="FF1608C6"/>
      <color rgb="FFA8C905"/>
      <color rgb="FF13C4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SPJ%20NOVEMBER-PERUBAH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SPJ%20FEBRUA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%20SPJ%20AGUSTU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SPJ%20APR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SPJ%20MAR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SPJ%20OKTOBER-PERUBAHA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SPJ%20JUL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SPJ%20JUN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9%20SPJ%20S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 refreshError="1"/>
      <sheetData sheetId="1" refreshError="1">
        <row r="24">
          <cell r="R24">
            <v>3580556900</v>
          </cell>
        </row>
        <row r="25">
          <cell r="R25">
            <v>338701828</v>
          </cell>
        </row>
        <row r="26">
          <cell r="R26">
            <v>316030000</v>
          </cell>
        </row>
        <row r="27">
          <cell r="R27">
            <v>72190000</v>
          </cell>
        </row>
        <row r="28">
          <cell r="R28">
            <v>209293800</v>
          </cell>
        </row>
        <row r="29">
          <cell r="R29">
            <v>1412803</v>
          </cell>
        </row>
        <row r="30">
          <cell r="R30">
            <v>49093</v>
          </cell>
        </row>
        <row r="31">
          <cell r="R31">
            <v>281421617</v>
          </cell>
        </row>
        <row r="32">
          <cell r="R32">
            <v>7267851</v>
          </cell>
        </row>
        <row r="33">
          <cell r="R33">
            <v>21803661</v>
          </cell>
        </row>
        <row r="36">
          <cell r="R36">
            <v>3757908440</v>
          </cell>
        </row>
        <row r="44">
          <cell r="R44">
            <v>24395700</v>
          </cell>
        </row>
        <row r="50">
          <cell r="R50">
            <v>21672650</v>
          </cell>
        </row>
        <row r="51">
          <cell r="R51">
            <v>29841500</v>
          </cell>
        </row>
        <row r="52">
          <cell r="R52">
            <v>115000</v>
          </cell>
        </row>
        <row r="53">
          <cell r="R53">
            <v>39421000</v>
          </cell>
        </row>
        <row r="54">
          <cell r="R54">
            <v>17242500</v>
          </cell>
        </row>
        <row r="55">
          <cell r="R55">
            <v>24380500</v>
          </cell>
        </row>
        <row r="58">
          <cell r="R58">
            <v>1200000</v>
          </cell>
        </row>
        <row r="64">
          <cell r="R64">
            <v>20954950</v>
          </cell>
        </row>
        <row r="70">
          <cell r="R70">
            <v>49517200</v>
          </cell>
        </row>
        <row r="73">
          <cell r="R73">
            <v>82912593</v>
          </cell>
        </row>
        <row r="94">
          <cell r="R94">
            <v>4178000</v>
          </cell>
        </row>
        <row r="99">
          <cell r="R99">
            <v>350000</v>
          </cell>
        </row>
        <row r="100">
          <cell r="R100">
            <v>3339302</v>
          </cell>
        </row>
        <row r="101">
          <cell r="R101">
            <v>21550124</v>
          </cell>
        </row>
        <row r="102">
          <cell r="R102">
            <v>27919276</v>
          </cell>
        </row>
        <row r="107">
          <cell r="R107">
            <v>341500000</v>
          </cell>
        </row>
        <row r="108">
          <cell r="R108">
            <v>193160000</v>
          </cell>
        </row>
        <row r="109">
          <cell r="R109">
            <v>258040000</v>
          </cell>
        </row>
        <row r="110">
          <cell r="R110">
            <v>42280000</v>
          </cell>
        </row>
        <row r="112">
          <cell r="R112">
            <v>2238750</v>
          </cell>
        </row>
        <row r="113">
          <cell r="R113">
            <v>2798610</v>
          </cell>
        </row>
        <row r="121">
          <cell r="R121">
            <v>75651000</v>
          </cell>
        </row>
        <row r="125">
          <cell r="R125">
            <v>3898050</v>
          </cell>
        </row>
        <row r="128">
          <cell r="R128">
            <v>56940400</v>
          </cell>
        </row>
        <row r="135">
          <cell r="R135">
            <v>400000</v>
          </cell>
        </row>
        <row r="138">
          <cell r="R138">
            <v>5720500</v>
          </cell>
        </row>
        <row r="139">
          <cell r="U139">
            <v>1000000</v>
          </cell>
        </row>
        <row r="141">
          <cell r="R141">
            <v>15980000</v>
          </cell>
        </row>
        <row r="142">
          <cell r="R142">
            <v>8400000</v>
          </cell>
        </row>
        <row r="148">
          <cell r="R148">
            <v>62933203</v>
          </cell>
        </row>
        <row r="158">
          <cell r="R158">
            <v>7748850</v>
          </cell>
        </row>
        <row r="159">
          <cell r="R159">
            <v>5410000</v>
          </cell>
        </row>
        <row r="160">
          <cell r="R160">
            <v>9486250</v>
          </cell>
        </row>
        <row r="163">
          <cell r="R163">
            <v>1232720000</v>
          </cell>
        </row>
        <row r="164">
          <cell r="R164">
            <v>126000</v>
          </cell>
          <cell r="U164">
            <v>126000</v>
          </cell>
        </row>
        <row r="166">
          <cell r="R166">
            <v>3075300</v>
          </cell>
        </row>
        <row r="167">
          <cell r="R167">
            <v>3739268</v>
          </cell>
        </row>
        <row r="170">
          <cell r="R170">
            <v>74081082</v>
          </cell>
        </row>
        <row r="178">
          <cell r="R178">
            <v>1918000</v>
          </cell>
        </row>
        <row r="179">
          <cell r="R179">
            <v>2456600</v>
          </cell>
        </row>
        <row r="180">
          <cell r="R180">
            <v>1402800</v>
          </cell>
        </row>
        <row r="181">
          <cell r="R181">
            <v>5202250</v>
          </cell>
        </row>
        <row r="182">
          <cell r="R182">
            <v>800000</v>
          </cell>
        </row>
        <row r="183">
          <cell r="R183">
            <v>400000</v>
          </cell>
        </row>
        <row r="184">
          <cell r="R184">
            <v>7757000</v>
          </cell>
        </row>
        <row r="185">
          <cell r="R185">
            <v>55433700</v>
          </cell>
        </row>
        <row r="186">
          <cell r="R186">
            <v>152859225</v>
          </cell>
        </row>
        <row r="188">
          <cell r="R188">
            <v>11750000</v>
          </cell>
          <cell r="U188">
            <v>24750000</v>
          </cell>
        </row>
        <row r="189">
          <cell r="U189">
            <v>4200000</v>
          </cell>
        </row>
        <row r="194">
          <cell r="R194">
            <v>1138050000</v>
          </cell>
        </row>
        <row r="201">
          <cell r="R201">
            <v>2747250</v>
          </cell>
        </row>
        <row r="202">
          <cell r="R202">
            <v>62050000</v>
          </cell>
        </row>
        <row r="233">
          <cell r="R233">
            <v>27710000</v>
          </cell>
        </row>
        <row r="234">
          <cell r="R234">
            <v>15589000</v>
          </cell>
        </row>
        <row r="235">
          <cell r="R235">
            <v>763000</v>
          </cell>
        </row>
        <row r="236">
          <cell r="R236">
            <v>5935150</v>
          </cell>
        </row>
        <row r="237">
          <cell r="R237">
            <v>200000</v>
          </cell>
        </row>
        <row r="240">
          <cell r="R240">
            <v>5615400</v>
          </cell>
        </row>
        <row r="241">
          <cell r="R241">
            <v>26125850</v>
          </cell>
        </row>
        <row r="245">
          <cell r="R245">
            <v>44400000</v>
          </cell>
        </row>
        <row r="246">
          <cell r="R246">
            <v>83000000</v>
          </cell>
        </row>
        <row r="248">
          <cell r="U248">
            <v>16430000</v>
          </cell>
        </row>
        <row r="249">
          <cell r="R249">
            <v>14250000</v>
          </cell>
        </row>
        <row r="255">
          <cell r="R255">
            <v>17150480</v>
          </cell>
        </row>
        <row r="256">
          <cell r="R256">
            <v>19650000</v>
          </cell>
        </row>
        <row r="258">
          <cell r="R258">
            <v>5500000</v>
          </cell>
        </row>
        <row r="259">
          <cell r="R259">
            <v>5500000</v>
          </cell>
          <cell r="U259">
            <v>7100000</v>
          </cell>
        </row>
        <row r="267">
          <cell r="R267">
            <v>41000</v>
          </cell>
        </row>
        <row r="268">
          <cell r="R268">
            <v>25000</v>
          </cell>
        </row>
        <row r="269">
          <cell r="R269">
            <v>17239250</v>
          </cell>
        </row>
        <row r="272">
          <cell r="R272">
            <v>1784700000</v>
          </cell>
        </row>
        <row r="284">
          <cell r="R284">
            <v>3668700</v>
          </cell>
        </row>
        <row r="287">
          <cell r="R287">
            <v>7200000</v>
          </cell>
        </row>
        <row r="298">
          <cell r="R298">
            <v>2369500</v>
          </cell>
        </row>
        <row r="299">
          <cell r="R299">
            <v>40103000</v>
          </cell>
        </row>
        <row r="302">
          <cell r="R302">
            <v>64478730</v>
          </cell>
        </row>
        <row r="303">
          <cell r="R303">
            <v>37500000</v>
          </cell>
          <cell r="U303">
            <v>37500000</v>
          </cell>
        </row>
        <row r="306">
          <cell r="R306">
            <v>16250000</v>
          </cell>
        </row>
        <row r="330">
          <cell r="R330">
            <v>2400000</v>
          </cell>
        </row>
      </sheetData>
      <sheetData sheetId="2" refreshError="1">
        <row r="30">
          <cell r="R30">
            <v>3580556900</v>
          </cell>
        </row>
        <row r="31">
          <cell r="R31">
            <v>333715534</v>
          </cell>
        </row>
        <row r="32">
          <cell r="R32">
            <v>316030000</v>
          </cell>
        </row>
        <row r="33">
          <cell r="R33">
            <v>72190000</v>
          </cell>
        </row>
        <row r="34">
          <cell r="R34">
            <v>207719872</v>
          </cell>
        </row>
        <row r="35">
          <cell r="R35">
            <v>1412803</v>
          </cell>
        </row>
        <row r="36">
          <cell r="R36">
            <v>49093</v>
          </cell>
        </row>
        <row r="37">
          <cell r="R37">
            <v>281421617</v>
          </cell>
        </row>
        <row r="38">
          <cell r="R38">
            <v>7267851</v>
          </cell>
        </row>
        <row r="39">
          <cell r="R39">
            <v>21803661</v>
          </cell>
        </row>
        <row r="42">
          <cell r="R42">
            <v>3757908440</v>
          </cell>
        </row>
        <row r="50">
          <cell r="X50">
            <v>28345700</v>
          </cell>
        </row>
        <row r="56">
          <cell r="X56">
            <v>22727650</v>
          </cell>
        </row>
        <row r="57">
          <cell r="X57">
            <v>32780500</v>
          </cell>
        </row>
        <row r="59">
          <cell r="X59">
            <v>40911000</v>
          </cell>
        </row>
        <row r="60">
          <cell r="X60">
            <v>18353500</v>
          </cell>
        </row>
        <row r="61">
          <cell r="X61">
            <v>27856000</v>
          </cell>
        </row>
        <row r="64">
          <cell r="X64">
            <v>1200000</v>
          </cell>
        </row>
        <row r="70">
          <cell r="X70">
            <v>21554950</v>
          </cell>
        </row>
        <row r="76">
          <cell r="X76">
            <v>55701000</v>
          </cell>
        </row>
        <row r="79">
          <cell r="X79">
            <v>143607593</v>
          </cell>
        </row>
        <row r="100">
          <cell r="X100">
            <v>4348000</v>
          </cell>
        </row>
        <row r="105">
          <cell r="X105">
            <v>350000</v>
          </cell>
        </row>
        <row r="106">
          <cell r="X106">
            <v>3339302</v>
          </cell>
        </row>
        <row r="107">
          <cell r="X107">
            <v>21550124</v>
          </cell>
        </row>
        <row r="108">
          <cell r="X108">
            <v>28922026</v>
          </cell>
        </row>
        <row r="113">
          <cell r="X113">
            <v>341500000</v>
          </cell>
        </row>
        <row r="114">
          <cell r="X114">
            <v>193160000</v>
          </cell>
        </row>
        <row r="115">
          <cell r="X115">
            <v>258040000</v>
          </cell>
        </row>
        <row r="116">
          <cell r="X116">
            <v>42280000</v>
          </cell>
        </row>
        <row r="118">
          <cell r="X118">
            <v>2256840</v>
          </cell>
        </row>
        <row r="119">
          <cell r="X119">
            <v>2821224</v>
          </cell>
        </row>
        <row r="127">
          <cell r="X127">
            <v>75651000</v>
          </cell>
        </row>
        <row r="131">
          <cell r="X131">
            <v>4158500</v>
          </cell>
        </row>
        <row r="134">
          <cell r="X134">
            <v>61883400</v>
          </cell>
        </row>
        <row r="141">
          <cell r="X141">
            <v>400000</v>
          </cell>
        </row>
        <row r="144">
          <cell r="X144">
            <v>5720500</v>
          </cell>
        </row>
        <row r="145">
          <cell r="X145">
            <v>1000000</v>
          </cell>
        </row>
        <row r="146">
          <cell r="X146">
            <v>900000</v>
          </cell>
        </row>
        <row r="147">
          <cell r="X147">
            <v>21990000</v>
          </cell>
        </row>
        <row r="148">
          <cell r="X148">
            <v>9535000</v>
          </cell>
        </row>
        <row r="154">
          <cell r="X154">
            <v>62933203</v>
          </cell>
        </row>
        <row r="164">
          <cell r="X164">
            <v>7748850</v>
          </cell>
        </row>
        <row r="165">
          <cell r="X165">
            <v>7882500</v>
          </cell>
        </row>
        <row r="166">
          <cell r="X166">
            <v>9486250</v>
          </cell>
        </row>
        <row r="169">
          <cell r="X169">
            <v>1232720000</v>
          </cell>
        </row>
        <row r="170">
          <cell r="X170">
            <v>126000</v>
          </cell>
        </row>
        <row r="172">
          <cell r="X172">
            <v>3117510</v>
          </cell>
        </row>
        <row r="173">
          <cell r="X173">
            <v>3792034</v>
          </cell>
        </row>
        <row r="176">
          <cell r="X176">
            <v>75012562</v>
          </cell>
        </row>
        <row r="184">
          <cell r="X184">
            <v>2704000</v>
          </cell>
        </row>
        <row r="185">
          <cell r="X185">
            <v>3686800</v>
          </cell>
        </row>
        <row r="186">
          <cell r="X186">
            <v>1513800</v>
          </cell>
        </row>
        <row r="187">
          <cell r="X187">
            <v>43031650</v>
          </cell>
        </row>
        <row r="191">
          <cell r="X191">
            <v>65358300</v>
          </cell>
        </row>
        <row r="192">
          <cell r="X192">
            <v>159343250</v>
          </cell>
        </row>
        <row r="194">
          <cell r="X194">
            <v>24750000</v>
          </cell>
        </row>
        <row r="195">
          <cell r="X195">
            <v>4200000</v>
          </cell>
        </row>
        <row r="200">
          <cell r="X200">
            <v>1158800000</v>
          </cell>
        </row>
        <row r="207">
          <cell r="X207">
            <v>4897250</v>
          </cell>
        </row>
        <row r="208">
          <cell r="X208">
            <v>64550000</v>
          </cell>
        </row>
        <row r="239">
          <cell r="X239">
            <v>32510000</v>
          </cell>
        </row>
        <row r="240">
          <cell r="X240">
            <v>19568050</v>
          </cell>
        </row>
        <row r="241">
          <cell r="X241">
            <v>928000</v>
          </cell>
        </row>
        <row r="242">
          <cell r="X242">
            <v>6295150</v>
          </cell>
        </row>
        <row r="243">
          <cell r="X243">
            <v>500000</v>
          </cell>
        </row>
        <row r="246">
          <cell r="X246">
            <v>9552900</v>
          </cell>
        </row>
        <row r="247">
          <cell r="X247">
            <v>28897850</v>
          </cell>
        </row>
        <row r="251">
          <cell r="X251">
            <v>52850000</v>
          </cell>
        </row>
        <row r="252">
          <cell r="X252">
            <v>85000000</v>
          </cell>
        </row>
        <row r="254">
          <cell r="X254">
            <v>16430000</v>
          </cell>
        </row>
        <row r="261">
          <cell r="X261">
            <v>55000480</v>
          </cell>
        </row>
        <row r="264">
          <cell r="X264">
            <v>7100000</v>
          </cell>
        </row>
        <row r="273">
          <cell r="X273">
            <v>41000</v>
          </cell>
        </row>
        <row r="274">
          <cell r="X274">
            <v>25000</v>
          </cell>
        </row>
        <row r="275">
          <cell r="X275">
            <v>17239250</v>
          </cell>
        </row>
        <row r="278">
          <cell r="X278">
            <v>1784700000</v>
          </cell>
        </row>
        <row r="290">
          <cell r="X290">
            <v>6582450</v>
          </cell>
        </row>
        <row r="293">
          <cell r="X293">
            <v>9000000</v>
          </cell>
        </row>
        <row r="308">
          <cell r="X308">
            <v>69140730</v>
          </cell>
        </row>
        <row r="309">
          <cell r="X309">
            <v>37500000</v>
          </cell>
        </row>
        <row r="312">
          <cell r="X312">
            <v>25050000</v>
          </cell>
        </row>
        <row r="333">
          <cell r="X333">
            <v>7393175</v>
          </cell>
        </row>
        <row r="336">
          <cell r="X336">
            <v>3200000</v>
          </cell>
        </row>
        <row r="362">
          <cell r="R362">
            <v>8586635993</v>
          </cell>
          <cell r="X362">
            <v>7578737068</v>
          </cell>
        </row>
        <row r="364">
          <cell r="X364">
            <v>26340022</v>
          </cell>
        </row>
        <row r="365">
          <cell r="R365">
            <v>162215387</v>
          </cell>
          <cell r="X365">
            <v>195649633</v>
          </cell>
        </row>
        <row r="366">
          <cell r="X366">
            <v>5569995</v>
          </cell>
        </row>
        <row r="367">
          <cell r="X367">
            <v>214120</v>
          </cell>
        </row>
        <row r="370">
          <cell r="X370">
            <v>11763625</v>
          </cell>
        </row>
        <row r="378">
          <cell r="R378">
            <v>8580075771</v>
          </cell>
          <cell r="X378">
            <v>7108781753</v>
          </cell>
        </row>
        <row r="380">
          <cell r="X380">
            <v>16956225</v>
          </cell>
        </row>
        <row r="381">
          <cell r="R381">
            <v>162215387</v>
          </cell>
          <cell r="X381">
            <v>193902635</v>
          </cell>
        </row>
        <row r="382">
          <cell r="X382">
            <v>4342030</v>
          </cell>
        </row>
        <row r="383">
          <cell r="X383">
            <v>214120</v>
          </cell>
        </row>
        <row r="386">
          <cell r="X386">
            <v>11749625</v>
          </cell>
        </row>
        <row r="388">
          <cell r="R388">
            <v>6560222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>
        <row r="226">
          <cell r="U226">
            <v>0</v>
          </cell>
        </row>
      </sheetData>
      <sheetData sheetId="2">
        <row r="189">
          <cell r="X189">
            <v>400000</v>
          </cell>
        </row>
        <row r="200">
          <cell r="X200">
            <v>17250000</v>
          </cell>
        </row>
        <row r="210">
          <cell r="X210">
            <v>10000000</v>
          </cell>
        </row>
        <row r="220">
          <cell r="X220">
            <v>10148000</v>
          </cell>
        </row>
        <row r="221">
          <cell r="X221">
            <v>739000</v>
          </cell>
        </row>
        <row r="223">
          <cell r="X223">
            <v>632000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58">
          <cell r="X58">
            <v>115000</v>
          </cell>
        </row>
        <row r="190">
          <cell r="X190">
            <v>7757000</v>
          </cell>
        </row>
        <row r="198">
          <cell r="X198">
            <v>16750000</v>
          </cell>
        </row>
        <row r="201">
          <cell r="X201">
            <v>3200000</v>
          </cell>
        </row>
        <row r="298">
          <cell r="X298">
            <v>2369500</v>
          </cell>
        </row>
        <row r="299">
          <cell r="X299">
            <v>40103000</v>
          </cell>
        </row>
        <row r="300">
          <cell r="X300">
            <v>3164700</v>
          </cell>
        </row>
        <row r="308">
          <cell r="X308">
            <v>6000000</v>
          </cell>
        </row>
        <row r="330">
          <cell r="X330">
            <v>440000</v>
          </cell>
        </row>
        <row r="331">
          <cell r="X331">
            <v>6400000</v>
          </cell>
        </row>
        <row r="334">
          <cell r="X334">
            <v>1050000</v>
          </cell>
        </row>
        <row r="337">
          <cell r="X337">
            <v>3100000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87">
          <cell r="X87">
            <v>680000</v>
          </cell>
        </row>
        <row r="300">
          <cell r="X300">
            <v>3780000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92">
          <cell r="U92">
            <v>67320000</v>
          </cell>
        </row>
        <row r="222">
          <cell r="X222">
            <v>4919550</v>
          </cell>
        </row>
        <row r="224">
          <cell r="X224">
            <v>9257850</v>
          </cell>
        </row>
        <row r="225">
          <cell r="X225">
            <v>36878000</v>
          </cell>
        </row>
        <row r="228">
          <cell r="X228">
            <v>1500000</v>
          </cell>
        </row>
        <row r="229">
          <cell r="X229">
            <v>880000</v>
          </cell>
        </row>
        <row r="230">
          <cell r="X230">
            <v>52000000</v>
          </cell>
        </row>
        <row r="344">
          <cell r="U344">
            <v>67320000</v>
          </cell>
        </row>
        <row r="346">
          <cell r="U346">
            <v>6120000</v>
          </cell>
        </row>
        <row r="348">
          <cell r="U348">
            <v>918000</v>
          </cell>
        </row>
        <row r="357">
          <cell r="U357">
            <v>67320000</v>
          </cell>
        </row>
        <row r="359">
          <cell r="U359">
            <v>6120000</v>
          </cell>
        </row>
        <row r="361">
          <cell r="U361">
            <v>918000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130">
          <cell r="X130">
            <v>230000</v>
          </cell>
        </row>
        <row r="188">
          <cell r="Y188">
            <v>800000</v>
          </cell>
        </row>
        <row r="372">
          <cell r="X372">
            <v>4800447368</v>
          </cell>
        </row>
        <row r="373">
          <cell r="X373">
            <v>19282000</v>
          </cell>
        </row>
        <row r="388">
          <cell r="X388">
            <v>4800447368</v>
          </cell>
        </row>
        <row r="389">
          <cell r="X389">
            <v>19282000</v>
          </cell>
        </row>
        <row r="390">
          <cell r="X390">
            <v>711450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193">
          <cell r="X193">
            <v>45036350</v>
          </cell>
        </row>
        <row r="197">
          <cell r="X197">
            <v>14400000</v>
          </cell>
        </row>
        <row r="252">
          <cell r="X252">
            <v>14250000</v>
          </cell>
        </row>
        <row r="256">
          <cell r="X256">
            <v>19650000</v>
          </cell>
        </row>
        <row r="321">
          <cell r="X321">
            <v>400000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259">
          <cell r="X259">
            <v>5500000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BM"/>
      <sheetName val="LRA SP2D"/>
      <sheetName val="SPJ FUNGSIONAL "/>
    </sheetNames>
    <sheetDataSet>
      <sheetData sheetId="0"/>
      <sheetData sheetId="1"/>
      <sheetData sheetId="2">
        <row r="309">
          <cell r="X309">
            <v>19500000</v>
          </cell>
        </row>
        <row r="312">
          <cell r="X312">
            <v>22800000</v>
          </cell>
        </row>
        <row r="315">
          <cell r="X315">
            <v>49200000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59"/>
  <sheetViews>
    <sheetView tabSelected="1" topLeftCell="A3" zoomScale="70" zoomScaleNormal="70" workbookViewId="0">
      <selection activeCell="AC16" sqref="AC16"/>
    </sheetView>
  </sheetViews>
  <sheetFormatPr defaultColWidth="9" defaultRowHeight="14.6"/>
  <cols>
    <col min="1" max="1" width="3.69140625" customWidth="1"/>
    <col min="2" max="2" width="6.23046875" customWidth="1"/>
    <col min="3" max="3" width="6.53515625" customWidth="1"/>
    <col min="4" max="4" width="3.69140625" customWidth="1"/>
    <col min="5" max="5" width="7.4609375" customWidth="1"/>
    <col min="6" max="6" width="4.23046875" customWidth="1"/>
    <col min="7" max="8" width="3.69140625" customWidth="1"/>
    <col min="9" max="9" width="4.23046875" customWidth="1"/>
    <col min="10" max="10" width="4.15234375" customWidth="1"/>
    <col min="11" max="11" width="5.53515625" customWidth="1"/>
    <col min="12" max="12" width="5.15234375" customWidth="1"/>
    <col min="13" max="13" width="3.69140625" customWidth="1"/>
    <col min="14" max="14" width="68.84375" customWidth="1"/>
    <col min="15" max="15" width="25.4609375" customWidth="1"/>
    <col min="16" max="16" width="25.53515625" customWidth="1"/>
    <col min="17" max="17" width="22.69140625" customWidth="1"/>
    <col min="18" max="18" width="28.15234375" customWidth="1"/>
    <col min="19" max="19" width="26.15234375" customWidth="1"/>
    <col min="20" max="20" width="25.53515625" customWidth="1"/>
    <col min="21" max="21" width="25.69140625" customWidth="1"/>
    <col min="22" max="22" width="22.84375" customWidth="1"/>
    <col min="23" max="23" width="25.69140625" customWidth="1"/>
    <col min="24" max="24" width="30.84375" customWidth="1"/>
    <col min="25" max="25" width="23.15234375" bestFit="1" customWidth="1"/>
    <col min="26" max="26" width="22.4609375" customWidth="1"/>
    <col min="27" max="27" width="15.69140625" customWidth="1"/>
    <col min="33" max="33" width="14.15234375" bestFit="1" customWidth="1"/>
  </cols>
  <sheetData>
    <row r="1" spans="1:40" ht="25.3">
      <c r="A1" s="532" t="s">
        <v>210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</row>
    <row r="2" spans="1:40" ht="25.3">
      <c r="A2" s="532" t="s">
        <v>211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</row>
    <row r="3" spans="1:40" ht="25.3">
      <c r="A3" s="533" t="s">
        <v>296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533"/>
    </row>
    <row r="4" spans="1:40" ht="25.3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33"/>
      <c r="O4" s="533"/>
      <c r="P4" s="533"/>
      <c r="Q4" s="533"/>
      <c r="R4" s="533"/>
      <c r="S4" s="533"/>
      <c r="T4" s="533"/>
      <c r="U4" s="533"/>
      <c r="V4" s="533"/>
      <c r="W4" s="533"/>
      <c r="X4" s="533"/>
      <c r="Y4" s="533"/>
      <c r="Z4" s="533"/>
      <c r="AA4" s="533"/>
      <c r="AB4" s="533"/>
      <c r="AC4" s="533"/>
      <c r="AD4" s="533"/>
      <c r="AE4" s="533"/>
      <c r="AF4" s="533"/>
      <c r="AG4" s="533"/>
      <c r="AH4" s="533"/>
      <c r="AI4" s="533"/>
      <c r="AJ4" s="533"/>
      <c r="AK4" s="533"/>
      <c r="AL4" s="533"/>
      <c r="AM4" s="533"/>
      <c r="AN4" s="533"/>
    </row>
    <row r="5" spans="1:40" ht="15" customHeight="1">
      <c r="A5" s="534" t="s">
        <v>0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 t="s">
        <v>1</v>
      </c>
      <c r="O5" s="542" t="s">
        <v>214</v>
      </c>
      <c r="P5" s="543"/>
      <c r="Q5" s="543"/>
      <c r="R5" s="544"/>
      <c r="S5" s="551" t="s">
        <v>215</v>
      </c>
      <c r="T5" s="542" t="s">
        <v>216</v>
      </c>
      <c r="U5" s="543"/>
      <c r="V5" s="543"/>
      <c r="W5" s="544"/>
      <c r="X5" s="535" t="s">
        <v>5</v>
      </c>
      <c r="Y5" s="536" t="s">
        <v>6</v>
      </c>
      <c r="Z5" s="538" t="s">
        <v>299</v>
      </c>
      <c r="AA5" s="535" t="s">
        <v>217</v>
      </c>
      <c r="AB5" s="3"/>
      <c r="AC5" s="3"/>
      <c r="AD5" s="3"/>
      <c r="AE5" s="3"/>
    </row>
    <row r="6" spans="1:40" ht="15" customHeight="1">
      <c r="A6" s="534"/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45"/>
      <c r="P6" s="546"/>
      <c r="Q6" s="546"/>
      <c r="R6" s="547"/>
      <c r="S6" s="552"/>
      <c r="T6" s="545"/>
      <c r="U6" s="546"/>
      <c r="V6" s="546"/>
      <c r="W6" s="547"/>
      <c r="X6" s="540"/>
      <c r="Y6" s="537"/>
      <c r="Z6" s="539"/>
      <c r="AA6" s="540"/>
      <c r="AB6" s="3"/>
      <c r="AC6" s="3"/>
      <c r="AD6" s="3"/>
      <c r="AE6" s="3"/>
    </row>
    <row r="7" spans="1:40" ht="15" customHeight="1">
      <c r="A7" s="534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45"/>
      <c r="P7" s="546"/>
      <c r="Q7" s="546"/>
      <c r="R7" s="547"/>
      <c r="S7" s="552"/>
      <c r="T7" s="545"/>
      <c r="U7" s="546"/>
      <c r="V7" s="546"/>
      <c r="W7" s="547"/>
      <c r="X7" s="540"/>
      <c r="Y7" s="537"/>
      <c r="Z7" s="539"/>
      <c r="AA7" s="540"/>
      <c r="AB7" s="3"/>
      <c r="AC7" s="3"/>
      <c r="AD7" s="3"/>
      <c r="AE7" s="3"/>
    </row>
    <row r="8" spans="1:40" ht="15" customHeight="1">
      <c r="A8" s="534"/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48"/>
      <c r="P8" s="549"/>
      <c r="Q8" s="549"/>
      <c r="R8" s="550"/>
      <c r="S8" s="552"/>
      <c r="T8" s="548"/>
      <c r="U8" s="549"/>
      <c r="V8" s="549"/>
      <c r="W8" s="550"/>
      <c r="X8" s="540"/>
      <c r="Y8" s="537"/>
      <c r="Z8" s="539"/>
      <c r="AA8" s="540"/>
      <c r="AB8" s="3"/>
      <c r="AC8" s="3"/>
      <c r="AD8" s="3"/>
      <c r="AE8" s="3"/>
    </row>
    <row r="9" spans="1:40" ht="15" customHeight="1">
      <c r="A9" s="534"/>
      <c r="B9" s="534"/>
      <c r="C9" s="534"/>
      <c r="D9" s="534"/>
      <c r="E9" s="534"/>
      <c r="F9" s="534"/>
      <c r="G9" s="534"/>
      <c r="H9" s="534"/>
      <c r="I9" s="534"/>
      <c r="J9" s="534"/>
      <c r="K9" s="534"/>
      <c r="L9" s="534"/>
      <c r="M9" s="534"/>
      <c r="N9" s="534"/>
      <c r="O9" s="535" t="s">
        <v>25</v>
      </c>
      <c r="P9" s="534" t="s">
        <v>218</v>
      </c>
      <c r="Q9" s="534" t="s">
        <v>219</v>
      </c>
      <c r="R9" s="534" t="s">
        <v>220</v>
      </c>
      <c r="S9" s="552"/>
      <c r="T9" s="535" t="s">
        <v>25</v>
      </c>
      <c r="U9" s="534" t="s">
        <v>218</v>
      </c>
      <c r="V9" s="534" t="s">
        <v>219</v>
      </c>
      <c r="W9" s="534" t="s">
        <v>220</v>
      </c>
      <c r="X9" s="540"/>
      <c r="Y9" s="537"/>
      <c r="Z9" s="539"/>
      <c r="AA9" s="541"/>
      <c r="AB9" s="3"/>
      <c r="AC9" s="3"/>
      <c r="AD9" s="3"/>
      <c r="AE9" s="3"/>
    </row>
    <row r="10" spans="1:40" ht="15" customHeight="1">
      <c r="A10" s="534"/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40"/>
      <c r="P10" s="534"/>
      <c r="Q10" s="534"/>
      <c r="R10" s="534"/>
      <c r="S10" s="552"/>
      <c r="T10" s="540"/>
      <c r="U10" s="534"/>
      <c r="V10" s="534"/>
      <c r="W10" s="534"/>
      <c r="X10" s="540"/>
      <c r="Y10" s="537"/>
      <c r="Z10" s="539"/>
      <c r="AA10" s="534" t="s">
        <v>9</v>
      </c>
      <c r="AB10" s="3"/>
      <c r="AC10" s="3"/>
      <c r="AD10" s="3"/>
      <c r="AE10" s="3"/>
    </row>
    <row r="11" spans="1:40" ht="15" customHeight="1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40"/>
      <c r="P11" s="534"/>
      <c r="Q11" s="534"/>
      <c r="R11" s="534"/>
      <c r="S11" s="552"/>
      <c r="T11" s="540"/>
      <c r="U11" s="534"/>
      <c r="V11" s="534"/>
      <c r="W11" s="534"/>
      <c r="X11" s="540"/>
      <c r="Y11" s="537"/>
      <c r="Z11" s="539"/>
      <c r="AA11" s="534"/>
      <c r="AB11" s="3"/>
      <c r="AC11" s="3"/>
      <c r="AD11" s="3"/>
      <c r="AE11" s="3"/>
    </row>
    <row r="12" spans="1:40" ht="15" customHeight="1">
      <c r="A12" s="535"/>
      <c r="B12" s="535"/>
      <c r="C12" s="535"/>
      <c r="D12" s="535"/>
      <c r="E12" s="535"/>
      <c r="F12" s="535"/>
      <c r="G12" s="535"/>
      <c r="H12" s="535"/>
      <c r="I12" s="535"/>
      <c r="J12" s="535"/>
      <c r="K12" s="535"/>
      <c r="L12" s="535"/>
      <c r="M12" s="535"/>
      <c r="N12" s="535"/>
      <c r="O12" s="540"/>
      <c r="P12" s="535"/>
      <c r="Q12" s="535"/>
      <c r="R12" s="535"/>
      <c r="S12" s="552"/>
      <c r="T12" s="540"/>
      <c r="U12" s="535"/>
      <c r="V12" s="535"/>
      <c r="W12" s="535"/>
      <c r="X12" s="540"/>
      <c r="Y12" s="537"/>
      <c r="Z12" s="539"/>
      <c r="AA12" s="535"/>
      <c r="AB12" s="3"/>
      <c r="AC12" s="3"/>
      <c r="AD12" s="3"/>
      <c r="AE12" s="3"/>
    </row>
    <row r="13" spans="1:40" ht="33.75" customHeight="1">
      <c r="A13" s="535" t="s">
        <v>10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132">
        <v>2</v>
      </c>
      <c r="O13" s="155" t="s">
        <v>86</v>
      </c>
      <c r="P13" s="155" t="s">
        <v>11</v>
      </c>
      <c r="Q13" s="155" t="s">
        <v>12</v>
      </c>
      <c r="R13" s="155" t="s">
        <v>221</v>
      </c>
      <c r="S13" s="155">
        <v>7</v>
      </c>
      <c r="T13" s="155">
        <v>8</v>
      </c>
      <c r="U13" s="155">
        <v>9</v>
      </c>
      <c r="V13" s="155">
        <v>10</v>
      </c>
      <c r="W13" s="155" t="s">
        <v>222</v>
      </c>
      <c r="X13" s="156" t="s">
        <v>223</v>
      </c>
      <c r="Y13" s="156" t="s">
        <v>224</v>
      </c>
      <c r="Z13" s="156" t="s">
        <v>225</v>
      </c>
      <c r="AA13" s="157" t="s">
        <v>226</v>
      </c>
      <c r="AB13" s="3"/>
      <c r="AC13" s="3"/>
      <c r="AD13" s="3"/>
      <c r="AE13" s="3"/>
    </row>
    <row r="14" spans="1:40" ht="27" customHeight="1">
      <c r="A14" s="149" t="s">
        <v>14</v>
      </c>
      <c r="B14" s="150" t="s">
        <v>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2"/>
      <c r="N14" s="153" t="s">
        <v>20</v>
      </c>
      <c r="O14" s="174">
        <f>O16+O149+O206+O273+O288</f>
        <v>9853371312</v>
      </c>
      <c r="P14" s="174">
        <f t="shared" ref="P14:Q14" si="0">P16+P149+P206+P273+P288</f>
        <v>9082645383</v>
      </c>
      <c r="Q14" s="174">
        <f t="shared" si="0"/>
        <v>67320000</v>
      </c>
      <c r="R14" s="175">
        <f>O14+P14+Q14</f>
        <v>19003336695</v>
      </c>
      <c r="S14" s="176">
        <f>S16+S149+S206+S273+S288</f>
        <v>18593156355</v>
      </c>
      <c r="T14" s="176">
        <f>T16+T149+T206+T273+T288</f>
        <v>9653318957</v>
      </c>
      <c r="U14" s="176">
        <f>U16+U149+U206+U273+U288</f>
        <v>8583817298</v>
      </c>
      <c r="V14" s="176">
        <f>V16+V149+V206+V273+V288</f>
        <v>67320000</v>
      </c>
      <c r="W14" s="175">
        <f>T14+U14+V14</f>
        <v>18304456255</v>
      </c>
      <c r="X14" s="176">
        <f>R14-W14</f>
        <v>698880440</v>
      </c>
      <c r="Y14" s="176">
        <f>Y18</f>
        <v>7189005</v>
      </c>
      <c r="Z14" s="176">
        <f>S14-W14-Y14</f>
        <v>281511095</v>
      </c>
      <c r="AA14" s="194">
        <f>W14/R14*100%</f>
        <v>0.96322327751084458</v>
      </c>
      <c r="AB14" s="3"/>
      <c r="AC14" s="3"/>
      <c r="AD14" s="3"/>
      <c r="AE14" s="3"/>
    </row>
    <row r="15" spans="1:40" ht="16.3">
      <c r="A15" s="133"/>
      <c r="B15" s="134"/>
      <c r="C15" s="4"/>
      <c r="D15" s="4"/>
      <c r="E15" s="4"/>
      <c r="F15" s="4"/>
      <c r="G15" s="4"/>
      <c r="H15" s="4"/>
      <c r="I15" s="4"/>
      <c r="J15" s="4"/>
      <c r="K15" s="4"/>
      <c r="L15" s="4"/>
      <c r="M15" s="18"/>
      <c r="N15" s="19"/>
      <c r="O15" s="53"/>
      <c r="P15" s="53"/>
      <c r="Q15" s="53"/>
      <c r="R15" s="82"/>
      <c r="S15" s="53"/>
      <c r="T15" s="53"/>
      <c r="U15" s="82"/>
      <c r="V15" s="82"/>
      <c r="W15" s="82"/>
      <c r="X15" s="170"/>
      <c r="Y15" s="170"/>
      <c r="Z15" s="171"/>
      <c r="AA15" s="53"/>
      <c r="AB15" s="3"/>
      <c r="AC15" s="3"/>
      <c r="AD15" s="3"/>
      <c r="AE15" s="3"/>
      <c r="AG15" s="228"/>
    </row>
    <row r="16" spans="1:40" ht="60.75" customHeight="1">
      <c r="A16" s="5">
        <v>7</v>
      </c>
      <c r="B16" s="101" t="s">
        <v>19</v>
      </c>
      <c r="C16" s="101" t="s">
        <v>19</v>
      </c>
      <c r="D16" s="6"/>
      <c r="E16" s="6"/>
      <c r="F16" s="6"/>
      <c r="G16" s="6"/>
      <c r="H16" s="6"/>
      <c r="I16" s="6"/>
      <c r="J16" s="6"/>
      <c r="K16" s="6"/>
      <c r="L16" s="6"/>
      <c r="M16" s="20"/>
      <c r="N16" s="124" t="s">
        <v>21</v>
      </c>
      <c r="O16" s="160">
        <f>O18+O37+O74+O114</f>
        <v>9853371312</v>
      </c>
      <c r="P16" s="160">
        <f>P18+P37+P87+P114</f>
        <v>2034569483</v>
      </c>
      <c r="Q16" s="160">
        <f>Q18+Q37+Q74+Q87+Q114</f>
        <v>67320000</v>
      </c>
      <c r="R16" s="160">
        <f>O16+P16+Q16</f>
        <v>11955260795</v>
      </c>
      <c r="S16" s="177">
        <f>S18+S37+S74+S87+S114</f>
        <v>12214700703</v>
      </c>
      <c r="T16" s="177">
        <f t="shared" ref="T16:V16" si="1">T18+T37+T74+T87+T114</f>
        <v>9653318957</v>
      </c>
      <c r="U16" s="177">
        <f t="shared" si="1"/>
        <v>1813898567</v>
      </c>
      <c r="V16" s="177">
        <f t="shared" si="1"/>
        <v>67320000</v>
      </c>
      <c r="W16" s="160">
        <f t="shared" ref="W16:W89" si="2">T16+U16+V16</f>
        <v>11534537524</v>
      </c>
      <c r="X16" s="177">
        <f t="shared" ref="X16:X89" si="3">R16-W16</f>
        <v>420723271</v>
      </c>
      <c r="Y16" s="177">
        <f>Y18</f>
        <v>7189005</v>
      </c>
      <c r="Z16" s="178"/>
      <c r="AA16" s="195">
        <f>W16/R16*100%</f>
        <v>0.96480852419581198</v>
      </c>
      <c r="AB16" s="3"/>
      <c r="AC16" s="3"/>
      <c r="AD16" s="3"/>
      <c r="AE16" s="3"/>
      <c r="AG16" s="228"/>
    </row>
    <row r="17" spans="1:31" ht="16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22"/>
      <c r="N17" s="125"/>
      <c r="O17" s="53"/>
      <c r="P17" s="53"/>
      <c r="Q17" s="53"/>
      <c r="R17" s="82"/>
      <c r="S17" s="53"/>
      <c r="T17" s="53"/>
      <c r="U17" s="82"/>
      <c r="V17" s="82"/>
      <c r="W17" s="82"/>
      <c r="X17" s="170"/>
      <c r="Y17" s="170"/>
      <c r="Z17" s="171"/>
      <c r="AA17" s="196"/>
      <c r="AB17" s="3"/>
      <c r="AC17" s="3"/>
      <c r="AD17" s="3"/>
      <c r="AE17" s="3"/>
    </row>
    <row r="18" spans="1:31" ht="49.5" customHeight="1">
      <c r="A18" s="9">
        <v>7</v>
      </c>
      <c r="B18" s="102" t="s">
        <v>19</v>
      </c>
      <c r="C18" s="102" t="s">
        <v>19</v>
      </c>
      <c r="D18" s="10">
        <v>2</v>
      </c>
      <c r="E18" s="102" t="s">
        <v>22</v>
      </c>
      <c r="F18" s="10"/>
      <c r="G18" s="10"/>
      <c r="H18" s="10"/>
      <c r="I18" s="10"/>
      <c r="J18" s="10"/>
      <c r="K18" s="10"/>
      <c r="L18" s="10"/>
      <c r="M18" s="24"/>
      <c r="N18" s="25" t="s">
        <v>23</v>
      </c>
      <c r="O18" s="26">
        <f>O20</f>
        <v>9852691312</v>
      </c>
      <c r="P18" s="40"/>
      <c r="Q18" s="40"/>
      <c r="R18" s="163">
        <f t="shared" ref="R18:R89" si="4">O18+P18+Q18</f>
        <v>9852691312</v>
      </c>
      <c r="S18" s="95">
        <f>S20</f>
        <v>9659827962</v>
      </c>
      <c r="T18" s="95">
        <f>T20</f>
        <v>9652638957</v>
      </c>
      <c r="U18" s="163"/>
      <c r="V18" s="163"/>
      <c r="W18" s="163">
        <f t="shared" si="2"/>
        <v>9652638957</v>
      </c>
      <c r="X18" s="95">
        <f t="shared" si="3"/>
        <v>200052355</v>
      </c>
      <c r="Y18" s="95">
        <f t="shared" ref="Y18:Y57" si="5">S18-W18</f>
        <v>7189005</v>
      </c>
      <c r="Z18" s="167"/>
      <c r="AA18" s="197">
        <f t="shared" ref="AA18:AA89" si="6">W18/R18*100%</f>
        <v>0.97969566399016805</v>
      </c>
      <c r="AB18" s="3"/>
      <c r="AC18" s="3"/>
      <c r="AD18" s="3"/>
      <c r="AE18" s="3"/>
    </row>
    <row r="19" spans="1:31" ht="16.3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7"/>
      <c r="N19" s="28"/>
      <c r="O19" s="34"/>
      <c r="P19" s="34"/>
      <c r="Q19" s="34"/>
      <c r="R19" s="81"/>
      <c r="S19" s="53"/>
      <c r="T19" s="53"/>
      <c r="U19" s="82"/>
      <c r="V19" s="82"/>
      <c r="W19" s="82"/>
      <c r="X19" s="170"/>
      <c r="Y19" s="170"/>
      <c r="Z19" s="171"/>
      <c r="AA19" s="196"/>
      <c r="AB19" s="3"/>
      <c r="AC19" s="3"/>
      <c r="AD19" s="3"/>
      <c r="AE19" s="3"/>
    </row>
    <row r="20" spans="1:31" ht="27" customHeight="1">
      <c r="A20" s="13">
        <v>7</v>
      </c>
      <c r="B20" s="103" t="s">
        <v>19</v>
      </c>
      <c r="C20" s="103" t="s">
        <v>19</v>
      </c>
      <c r="D20" s="14">
        <v>2</v>
      </c>
      <c r="E20" s="103" t="s">
        <v>22</v>
      </c>
      <c r="F20" s="103" t="s">
        <v>19</v>
      </c>
      <c r="G20" s="14"/>
      <c r="H20" s="14"/>
      <c r="I20" s="14"/>
      <c r="J20" s="14"/>
      <c r="K20" s="14"/>
      <c r="L20" s="14"/>
      <c r="M20" s="30"/>
      <c r="N20" s="31" t="s">
        <v>24</v>
      </c>
      <c r="O20" s="141">
        <f>O21</f>
        <v>9852691312</v>
      </c>
      <c r="P20" s="164"/>
      <c r="Q20" s="164"/>
      <c r="R20" s="165">
        <f t="shared" si="4"/>
        <v>9852691312</v>
      </c>
      <c r="S20" s="168">
        <f>S21</f>
        <v>9659827962</v>
      </c>
      <c r="T20" s="168">
        <f>T21</f>
        <v>9652638957</v>
      </c>
      <c r="U20" s="165">
        <f>U21</f>
        <v>0</v>
      </c>
      <c r="V20" s="165">
        <f>V21</f>
        <v>0</v>
      </c>
      <c r="W20" s="165">
        <f t="shared" si="2"/>
        <v>9652638957</v>
      </c>
      <c r="X20" s="168">
        <f t="shared" si="3"/>
        <v>200052355</v>
      </c>
      <c r="Y20" s="168">
        <f t="shared" si="5"/>
        <v>7189005</v>
      </c>
      <c r="Z20" s="169"/>
      <c r="AA20" s="198">
        <f t="shared" si="6"/>
        <v>0.97969566399016805</v>
      </c>
      <c r="AB20" s="3"/>
      <c r="AC20" s="3"/>
      <c r="AD20" s="3"/>
      <c r="AE20" s="3"/>
    </row>
    <row r="21" spans="1:31" ht="33.75" customHeight="1">
      <c r="A21" s="11">
        <v>7</v>
      </c>
      <c r="B21" s="104" t="s">
        <v>19</v>
      </c>
      <c r="C21" s="104" t="s">
        <v>19</v>
      </c>
      <c r="D21" s="12">
        <v>2</v>
      </c>
      <c r="E21" s="104" t="s">
        <v>22</v>
      </c>
      <c r="F21" s="104" t="s">
        <v>19</v>
      </c>
      <c r="G21" s="104" t="s">
        <v>12</v>
      </c>
      <c r="H21" s="104" t="s">
        <v>10</v>
      </c>
      <c r="I21" s="12"/>
      <c r="J21" s="12"/>
      <c r="K21" s="12"/>
      <c r="L21" s="12"/>
      <c r="M21" s="27"/>
      <c r="N21" s="28" t="s">
        <v>25</v>
      </c>
      <c r="O21" s="38">
        <f>O22+O33</f>
        <v>9852691312</v>
      </c>
      <c r="P21" s="53"/>
      <c r="Q21" s="53"/>
      <c r="R21" s="82">
        <f t="shared" si="4"/>
        <v>9852691312</v>
      </c>
      <c r="S21" s="170">
        <f>S22+S33</f>
        <v>9659827962</v>
      </c>
      <c r="T21" s="170">
        <f>T22+T33</f>
        <v>9652638957</v>
      </c>
      <c r="U21" s="82">
        <f>U22+U33</f>
        <v>0</v>
      </c>
      <c r="V21" s="82">
        <f>V22+V33</f>
        <v>0</v>
      </c>
      <c r="W21" s="82">
        <f t="shared" si="2"/>
        <v>9652638957</v>
      </c>
      <c r="X21" s="170">
        <f t="shared" si="3"/>
        <v>200052355</v>
      </c>
      <c r="Y21" s="170">
        <f t="shared" si="5"/>
        <v>7189005</v>
      </c>
      <c r="Z21" s="171"/>
      <c r="AA21" s="196">
        <f t="shared" si="6"/>
        <v>0.97969566399016805</v>
      </c>
      <c r="AB21" s="3"/>
      <c r="AC21" s="3"/>
      <c r="AD21" s="3"/>
      <c r="AE21" s="3"/>
    </row>
    <row r="22" spans="1:31" ht="33.75" customHeight="1">
      <c r="A22" s="11">
        <v>7</v>
      </c>
      <c r="B22" s="104" t="s">
        <v>19</v>
      </c>
      <c r="C22" s="104" t="s">
        <v>19</v>
      </c>
      <c r="D22" s="12">
        <v>2</v>
      </c>
      <c r="E22" s="104" t="s">
        <v>22</v>
      </c>
      <c r="F22" s="104" t="s">
        <v>19</v>
      </c>
      <c r="G22" s="104" t="s">
        <v>12</v>
      </c>
      <c r="H22" s="104" t="s">
        <v>10</v>
      </c>
      <c r="I22" s="104" t="s">
        <v>19</v>
      </c>
      <c r="J22" s="104" t="s">
        <v>19</v>
      </c>
      <c r="K22" s="12"/>
      <c r="L22" s="12"/>
      <c r="M22" s="27"/>
      <c r="N22" s="28" t="s">
        <v>26</v>
      </c>
      <c r="O22" s="38">
        <f>SUM(O23:O32)</f>
        <v>5322691312</v>
      </c>
      <c r="P22" s="53"/>
      <c r="Q22" s="53"/>
      <c r="R22" s="82">
        <f>O22+P22+Q22</f>
        <v>5322691312</v>
      </c>
      <c r="S22" s="170">
        <f>SUM(S23:S32)</f>
        <v>5225670787</v>
      </c>
      <c r="T22" s="170">
        <f>SUM(T23:T32)</f>
        <v>5218481782</v>
      </c>
      <c r="U22" s="82">
        <f>SUM(U23:U32)</f>
        <v>0</v>
      </c>
      <c r="V22" s="82">
        <f>SUM(V23:V32)</f>
        <v>0</v>
      </c>
      <c r="W22" s="82">
        <f t="shared" si="2"/>
        <v>5218481782</v>
      </c>
      <c r="X22" s="170">
        <f t="shared" si="3"/>
        <v>104209530</v>
      </c>
      <c r="Y22" s="170">
        <f t="shared" si="5"/>
        <v>7189005</v>
      </c>
      <c r="Z22" s="171"/>
      <c r="AA22" s="196">
        <f t="shared" si="6"/>
        <v>0.98042164689035038</v>
      </c>
      <c r="AB22" s="3"/>
      <c r="AC22" s="3"/>
      <c r="AD22" s="3"/>
      <c r="AE22" s="3"/>
    </row>
    <row r="23" spans="1:31" ht="33.75" customHeight="1">
      <c r="A23" s="15">
        <v>7</v>
      </c>
      <c r="B23" s="105" t="s">
        <v>19</v>
      </c>
      <c r="C23" s="105" t="s">
        <v>19</v>
      </c>
      <c r="D23" s="16">
        <v>2</v>
      </c>
      <c r="E23" s="105" t="s">
        <v>22</v>
      </c>
      <c r="F23" s="105" t="s">
        <v>19</v>
      </c>
      <c r="G23" s="16">
        <v>5</v>
      </c>
      <c r="H23" s="16">
        <v>1</v>
      </c>
      <c r="I23" s="105" t="s">
        <v>19</v>
      </c>
      <c r="J23" s="105" t="s">
        <v>19</v>
      </c>
      <c r="K23" s="105" t="s">
        <v>19</v>
      </c>
      <c r="L23" s="105" t="s">
        <v>27</v>
      </c>
      <c r="M23" s="33">
        <v>1</v>
      </c>
      <c r="N23" s="34" t="s">
        <v>28</v>
      </c>
      <c r="O23" s="35">
        <f>'LRA SP2D'!O24</f>
        <v>3890000000</v>
      </c>
      <c r="P23" s="34"/>
      <c r="Q23" s="34"/>
      <c r="R23" s="81">
        <f t="shared" si="4"/>
        <v>3890000000</v>
      </c>
      <c r="S23" s="81">
        <f>'LRA SP2D'!R24</f>
        <v>3861961085</v>
      </c>
      <c r="T23" s="81">
        <f>'LRA SP2D'!U24</f>
        <v>3861961085</v>
      </c>
      <c r="U23" s="81"/>
      <c r="V23" s="81"/>
      <c r="W23" s="81">
        <f t="shared" si="2"/>
        <v>3861961085</v>
      </c>
      <c r="X23" s="161">
        <f t="shared" si="3"/>
        <v>28038915</v>
      </c>
      <c r="Y23" s="161">
        <f t="shared" si="5"/>
        <v>0</v>
      </c>
      <c r="Z23" s="162"/>
      <c r="AA23" s="199">
        <f t="shared" si="6"/>
        <v>0.99279205269922877</v>
      </c>
      <c r="AB23" s="3"/>
      <c r="AC23" s="3"/>
      <c r="AD23" s="3"/>
      <c r="AE23" s="3"/>
    </row>
    <row r="24" spans="1:31" ht="33.75" customHeight="1">
      <c r="A24" s="15">
        <v>7</v>
      </c>
      <c r="B24" s="105" t="s">
        <v>19</v>
      </c>
      <c r="C24" s="105" t="s">
        <v>19</v>
      </c>
      <c r="D24" s="16">
        <v>2</v>
      </c>
      <c r="E24" s="105" t="s">
        <v>22</v>
      </c>
      <c r="F24" s="105" t="s">
        <v>19</v>
      </c>
      <c r="G24" s="16">
        <v>5</v>
      </c>
      <c r="H24" s="16">
        <v>1</v>
      </c>
      <c r="I24" s="105" t="s">
        <v>19</v>
      </c>
      <c r="J24" s="105" t="s">
        <v>19</v>
      </c>
      <c r="K24" s="105" t="s">
        <v>22</v>
      </c>
      <c r="L24" s="105" t="s">
        <v>27</v>
      </c>
      <c r="M24" s="33">
        <v>1</v>
      </c>
      <c r="N24" s="46" t="s">
        <v>29</v>
      </c>
      <c r="O24" s="47">
        <f>'LRA SP2D'!O25</f>
        <v>380000000</v>
      </c>
      <c r="P24" s="46"/>
      <c r="Q24" s="46"/>
      <c r="R24" s="231">
        <f t="shared" si="4"/>
        <v>380000000</v>
      </c>
      <c r="S24" s="231">
        <f>'LRA SP2D'!R25</f>
        <v>365474982</v>
      </c>
      <c r="T24" s="231">
        <f>'LRA SP2D'!U25</f>
        <v>359966805</v>
      </c>
      <c r="U24" s="231"/>
      <c r="V24" s="231"/>
      <c r="W24" s="231">
        <f t="shared" si="2"/>
        <v>359966805</v>
      </c>
      <c r="X24" s="235">
        <f t="shared" si="3"/>
        <v>20033195</v>
      </c>
      <c r="Y24" s="235">
        <f t="shared" si="5"/>
        <v>5508177</v>
      </c>
      <c r="Z24" s="236"/>
      <c r="AA24" s="237">
        <f t="shared" si="6"/>
        <v>0.94728106578947369</v>
      </c>
      <c r="AB24" s="234"/>
      <c r="AC24" s="234"/>
      <c r="AD24" s="3"/>
      <c r="AE24" s="3"/>
    </row>
    <row r="25" spans="1:31" ht="33.75" customHeight="1">
      <c r="A25" s="15">
        <v>7</v>
      </c>
      <c r="B25" s="105" t="s">
        <v>19</v>
      </c>
      <c r="C25" s="105" t="s">
        <v>19</v>
      </c>
      <c r="D25" s="16">
        <v>2</v>
      </c>
      <c r="E25" s="105" t="s">
        <v>22</v>
      </c>
      <c r="F25" s="105" t="s">
        <v>19</v>
      </c>
      <c r="G25" s="16">
        <v>5</v>
      </c>
      <c r="H25" s="16">
        <v>1</v>
      </c>
      <c r="I25" s="105" t="s">
        <v>19</v>
      </c>
      <c r="J25" s="105" t="s">
        <v>19</v>
      </c>
      <c r="K25" s="106" t="s">
        <v>30</v>
      </c>
      <c r="L25" s="105" t="s">
        <v>27</v>
      </c>
      <c r="M25" s="33">
        <v>1</v>
      </c>
      <c r="N25" s="46" t="s">
        <v>31</v>
      </c>
      <c r="O25" s="47">
        <f>'LRA SP2D'!O26</f>
        <v>352651600</v>
      </c>
      <c r="P25" s="46"/>
      <c r="Q25" s="46"/>
      <c r="R25" s="231">
        <f t="shared" si="4"/>
        <v>352651600</v>
      </c>
      <c r="S25" s="231">
        <f>'LRA SP2D'!R26</f>
        <v>340480000</v>
      </c>
      <c r="T25" s="231">
        <f>'LRA SP2D'!U26</f>
        <v>340480000</v>
      </c>
      <c r="U25" s="231"/>
      <c r="V25" s="231"/>
      <c r="W25" s="231">
        <f t="shared" si="2"/>
        <v>340480000</v>
      </c>
      <c r="X25" s="235">
        <f t="shared" si="3"/>
        <v>12171600</v>
      </c>
      <c r="Y25" s="235">
        <f t="shared" si="5"/>
        <v>0</v>
      </c>
      <c r="Z25" s="236"/>
      <c r="AA25" s="237">
        <f t="shared" si="6"/>
        <v>0.96548548198845541</v>
      </c>
      <c r="AB25" s="234"/>
      <c r="AC25" s="234"/>
      <c r="AD25" s="3"/>
      <c r="AE25" s="3"/>
    </row>
    <row r="26" spans="1:31" ht="33.75" customHeight="1">
      <c r="A26" s="15">
        <v>7</v>
      </c>
      <c r="B26" s="105" t="s">
        <v>19</v>
      </c>
      <c r="C26" s="105" t="s">
        <v>19</v>
      </c>
      <c r="D26" s="16">
        <v>2</v>
      </c>
      <c r="E26" s="105" t="s">
        <v>22</v>
      </c>
      <c r="F26" s="105" t="s">
        <v>19</v>
      </c>
      <c r="G26" s="16">
        <v>5</v>
      </c>
      <c r="H26" s="16">
        <v>1</v>
      </c>
      <c r="I26" s="105" t="s">
        <v>19</v>
      </c>
      <c r="J26" s="105" t="s">
        <v>19</v>
      </c>
      <c r="K26" s="106" t="s">
        <v>32</v>
      </c>
      <c r="L26" s="105" t="s">
        <v>27</v>
      </c>
      <c r="M26" s="33">
        <v>1</v>
      </c>
      <c r="N26" s="46" t="s">
        <v>33</v>
      </c>
      <c r="O26" s="47">
        <f>'LRA SP2D'!O27</f>
        <v>80000000</v>
      </c>
      <c r="P26" s="46"/>
      <c r="Q26" s="46"/>
      <c r="R26" s="231">
        <f t="shared" si="4"/>
        <v>80000000</v>
      </c>
      <c r="S26" s="231">
        <f>'LRA SP2D'!R27</f>
        <v>77525000</v>
      </c>
      <c r="T26" s="231">
        <f>'LRA SP2D'!U27</f>
        <v>77525000</v>
      </c>
      <c r="U26" s="231"/>
      <c r="V26" s="231"/>
      <c r="W26" s="231">
        <f t="shared" si="2"/>
        <v>77525000</v>
      </c>
      <c r="X26" s="235">
        <f t="shared" si="3"/>
        <v>2475000</v>
      </c>
      <c r="Y26" s="235">
        <f t="shared" si="5"/>
        <v>0</v>
      </c>
      <c r="Z26" s="236"/>
      <c r="AA26" s="237">
        <f t="shared" si="6"/>
        <v>0.96906250000000005</v>
      </c>
      <c r="AB26" s="234"/>
      <c r="AC26" s="234"/>
      <c r="AD26" s="3"/>
      <c r="AE26" s="3"/>
    </row>
    <row r="27" spans="1:31" ht="33.75" customHeight="1">
      <c r="A27" s="15">
        <v>7</v>
      </c>
      <c r="B27" s="105" t="s">
        <v>19</v>
      </c>
      <c r="C27" s="105" t="s">
        <v>19</v>
      </c>
      <c r="D27" s="16">
        <v>2</v>
      </c>
      <c r="E27" s="105" t="s">
        <v>22</v>
      </c>
      <c r="F27" s="105" t="s">
        <v>19</v>
      </c>
      <c r="G27" s="16">
        <v>5</v>
      </c>
      <c r="H27" s="16">
        <v>1</v>
      </c>
      <c r="I27" s="105" t="s">
        <v>19</v>
      </c>
      <c r="J27" s="105" t="s">
        <v>19</v>
      </c>
      <c r="K27" s="106" t="s">
        <v>34</v>
      </c>
      <c r="L27" s="105" t="s">
        <v>27</v>
      </c>
      <c r="M27" s="33">
        <v>1</v>
      </c>
      <c r="N27" s="46" t="s">
        <v>35</v>
      </c>
      <c r="O27" s="47">
        <f>'LRA SP2D'!O28</f>
        <v>235000000</v>
      </c>
      <c r="P27" s="46"/>
      <c r="Q27" s="46"/>
      <c r="R27" s="231">
        <f t="shared" si="4"/>
        <v>235000000</v>
      </c>
      <c r="S27" s="231">
        <f>'LRA SP2D'!R28</f>
        <v>225298620</v>
      </c>
      <c r="T27" s="231">
        <f>'LRA SP2D'!U28</f>
        <v>223618476</v>
      </c>
      <c r="U27" s="231"/>
      <c r="V27" s="231"/>
      <c r="W27" s="231">
        <f t="shared" si="2"/>
        <v>223618476</v>
      </c>
      <c r="X27" s="235">
        <f t="shared" si="3"/>
        <v>11381524</v>
      </c>
      <c r="Y27" s="235">
        <f t="shared" si="5"/>
        <v>1680144</v>
      </c>
      <c r="Z27" s="236"/>
      <c r="AA27" s="237">
        <f t="shared" si="6"/>
        <v>0.95156798297872336</v>
      </c>
      <c r="AB27" s="234"/>
      <c r="AC27" s="234"/>
      <c r="AD27" s="3"/>
      <c r="AE27" s="3"/>
    </row>
    <row r="28" spans="1:31" ht="33.75" customHeight="1">
      <c r="A28" s="15">
        <v>7</v>
      </c>
      <c r="B28" s="105" t="s">
        <v>19</v>
      </c>
      <c r="C28" s="105" t="s">
        <v>19</v>
      </c>
      <c r="D28" s="16">
        <v>2</v>
      </c>
      <c r="E28" s="105" t="s">
        <v>22</v>
      </c>
      <c r="F28" s="105" t="s">
        <v>19</v>
      </c>
      <c r="G28" s="16">
        <v>5</v>
      </c>
      <c r="H28" s="16">
        <v>1</v>
      </c>
      <c r="I28" s="105" t="s">
        <v>19</v>
      </c>
      <c r="J28" s="105" t="s">
        <v>19</v>
      </c>
      <c r="K28" s="106" t="s">
        <v>36</v>
      </c>
      <c r="L28" s="105" t="s">
        <v>27</v>
      </c>
      <c r="M28" s="33">
        <v>1</v>
      </c>
      <c r="N28" s="34" t="s">
        <v>37</v>
      </c>
      <c r="O28" s="35">
        <f>'LRA SP2D'!O29</f>
        <v>3000000</v>
      </c>
      <c r="P28" s="34"/>
      <c r="Q28" s="34"/>
      <c r="R28" s="81">
        <f t="shared" si="4"/>
        <v>3000000</v>
      </c>
      <c r="S28" s="81">
        <f>'LRA SP2D'!R29</f>
        <v>1604574</v>
      </c>
      <c r="T28" s="81">
        <f>'LRA SP2D'!U29</f>
        <v>1604574</v>
      </c>
      <c r="U28" s="81"/>
      <c r="V28" s="81"/>
      <c r="W28" s="81">
        <f t="shared" si="2"/>
        <v>1604574</v>
      </c>
      <c r="X28" s="161">
        <f t="shared" si="3"/>
        <v>1395426</v>
      </c>
      <c r="Y28" s="161">
        <f t="shared" si="5"/>
        <v>0</v>
      </c>
      <c r="Z28" s="162"/>
      <c r="AA28" s="199">
        <f t="shared" si="6"/>
        <v>0.53485799999999994</v>
      </c>
      <c r="AB28" s="3"/>
      <c r="AC28" s="3"/>
      <c r="AD28" s="3"/>
      <c r="AE28" s="3"/>
    </row>
    <row r="29" spans="1:31" ht="33.75" customHeight="1">
      <c r="A29" s="15">
        <v>7</v>
      </c>
      <c r="B29" s="105" t="s">
        <v>19</v>
      </c>
      <c r="C29" s="105" t="s">
        <v>19</v>
      </c>
      <c r="D29" s="16">
        <v>2</v>
      </c>
      <c r="E29" s="105" t="s">
        <v>22</v>
      </c>
      <c r="F29" s="105" t="s">
        <v>19</v>
      </c>
      <c r="G29" s="16">
        <v>5</v>
      </c>
      <c r="H29" s="16">
        <v>1</v>
      </c>
      <c r="I29" s="105" t="s">
        <v>19</v>
      </c>
      <c r="J29" s="105" t="s">
        <v>19</v>
      </c>
      <c r="K29" s="106" t="s">
        <v>38</v>
      </c>
      <c r="L29" s="105" t="s">
        <v>27</v>
      </c>
      <c r="M29" s="33">
        <v>1</v>
      </c>
      <c r="N29" s="34" t="s">
        <v>39</v>
      </c>
      <c r="O29" s="35">
        <f>'LRA SP2D'!O30</f>
        <v>60000</v>
      </c>
      <c r="P29" s="34"/>
      <c r="Q29" s="34"/>
      <c r="R29" s="81">
        <f t="shared" si="4"/>
        <v>60000</v>
      </c>
      <c r="S29" s="81">
        <f>'LRA SP2D'!R30</f>
        <v>53658</v>
      </c>
      <c r="T29" s="81">
        <f>'LRA SP2D'!U30</f>
        <v>52974</v>
      </c>
      <c r="U29" s="81"/>
      <c r="V29" s="81"/>
      <c r="W29" s="81">
        <f t="shared" si="2"/>
        <v>52974</v>
      </c>
      <c r="X29" s="161">
        <f t="shared" si="3"/>
        <v>7026</v>
      </c>
      <c r="Y29" s="161">
        <f t="shared" si="5"/>
        <v>684</v>
      </c>
      <c r="Z29" s="162"/>
      <c r="AA29" s="199">
        <f t="shared" si="6"/>
        <v>0.88290000000000002</v>
      </c>
      <c r="AB29" s="3"/>
      <c r="AC29" s="3"/>
      <c r="AD29" s="3"/>
      <c r="AE29" s="3"/>
    </row>
    <row r="30" spans="1:31" ht="33.75" customHeight="1">
      <c r="A30" s="15">
        <v>7</v>
      </c>
      <c r="B30" s="105" t="s">
        <v>19</v>
      </c>
      <c r="C30" s="105" t="s">
        <v>19</v>
      </c>
      <c r="D30" s="16">
        <v>2</v>
      </c>
      <c r="E30" s="105" t="s">
        <v>22</v>
      </c>
      <c r="F30" s="105" t="s">
        <v>19</v>
      </c>
      <c r="G30" s="16">
        <v>5</v>
      </c>
      <c r="H30" s="16">
        <v>1</v>
      </c>
      <c r="I30" s="105" t="s">
        <v>19</v>
      </c>
      <c r="J30" s="105" t="s">
        <v>19</v>
      </c>
      <c r="K30" s="106" t="s">
        <v>40</v>
      </c>
      <c r="L30" s="105" t="s">
        <v>27</v>
      </c>
      <c r="M30" s="33">
        <v>1</v>
      </c>
      <c r="N30" s="34" t="s">
        <v>41</v>
      </c>
      <c r="O30" s="35">
        <f>'LRA SP2D'!O31</f>
        <v>345000000</v>
      </c>
      <c r="P30" s="34"/>
      <c r="Q30" s="34"/>
      <c r="R30" s="81">
        <f t="shared" si="4"/>
        <v>345000000</v>
      </c>
      <c r="S30" s="81">
        <f>'LRA SP2D'!R31</f>
        <v>321557598</v>
      </c>
      <c r="T30" s="81">
        <f>'LRA SP2D'!U31</f>
        <v>321557598</v>
      </c>
      <c r="U30" s="81"/>
      <c r="V30" s="81"/>
      <c r="W30" s="81">
        <f t="shared" si="2"/>
        <v>321557598</v>
      </c>
      <c r="X30" s="161">
        <f t="shared" si="3"/>
        <v>23442402</v>
      </c>
      <c r="Y30" s="161">
        <f t="shared" si="5"/>
        <v>0</v>
      </c>
      <c r="Z30" s="162"/>
      <c r="AA30" s="199">
        <f t="shared" si="6"/>
        <v>0.93205100869565216</v>
      </c>
      <c r="AB30" s="3"/>
      <c r="AC30" s="3"/>
      <c r="AD30" s="3"/>
      <c r="AE30" s="3"/>
    </row>
    <row r="31" spans="1:31" ht="33.75" customHeight="1">
      <c r="A31" s="15">
        <v>7</v>
      </c>
      <c r="B31" s="105" t="s">
        <v>19</v>
      </c>
      <c r="C31" s="105" t="s">
        <v>19</v>
      </c>
      <c r="D31" s="16">
        <v>2</v>
      </c>
      <c r="E31" s="105" t="s">
        <v>22</v>
      </c>
      <c r="F31" s="105" t="s">
        <v>19</v>
      </c>
      <c r="G31" s="16">
        <v>5</v>
      </c>
      <c r="H31" s="16">
        <v>1</v>
      </c>
      <c r="I31" s="105" t="s">
        <v>19</v>
      </c>
      <c r="J31" s="105" t="s">
        <v>19</v>
      </c>
      <c r="K31" s="36">
        <v>10</v>
      </c>
      <c r="L31" s="105" t="s">
        <v>27</v>
      </c>
      <c r="M31" s="33">
        <v>1</v>
      </c>
      <c r="N31" s="34" t="s">
        <v>42</v>
      </c>
      <c r="O31" s="35">
        <f>'LRA SP2D'!O32</f>
        <v>9244712</v>
      </c>
      <c r="P31" s="34"/>
      <c r="Q31" s="34"/>
      <c r="R31" s="81">
        <f t="shared" si="4"/>
        <v>9244712</v>
      </c>
      <c r="S31" s="81">
        <f>'LRA SP2D'!R32</f>
        <v>7928791</v>
      </c>
      <c r="T31" s="81">
        <f>'LRA SP2D'!U32</f>
        <v>7928791</v>
      </c>
      <c r="U31" s="81"/>
      <c r="V31" s="81"/>
      <c r="W31" s="81">
        <f t="shared" si="2"/>
        <v>7928791</v>
      </c>
      <c r="X31" s="161">
        <f t="shared" si="3"/>
        <v>1315921</v>
      </c>
      <c r="Y31" s="161">
        <f t="shared" si="5"/>
        <v>0</v>
      </c>
      <c r="Z31" s="162"/>
      <c r="AA31" s="199">
        <f t="shared" si="6"/>
        <v>0.85765689618021634</v>
      </c>
      <c r="AB31" s="3"/>
      <c r="AC31" s="3"/>
      <c r="AD31" s="3"/>
      <c r="AE31" s="3"/>
    </row>
    <row r="32" spans="1:31" ht="33.75" customHeight="1">
      <c r="A32" s="15">
        <v>7</v>
      </c>
      <c r="B32" s="105" t="s">
        <v>19</v>
      </c>
      <c r="C32" s="105" t="s">
        <v>19</v>
      </c>
      <c r="D32" s="16">
        <v>2</v>
      </c>
      <c r="E32" s="105" t="s">
        <v>22</v>
      </c>
      <c r="F32" s="105" t="s">
        <v>19</v>
      </c>
      <c r="G32" s="16">
        <v>5</v>
      </c>
      <c r="H32" s="16">
        <v>1</v>
      </c>
      <c r="I32" s="105" t="s">
        <v>19</v>
      </c>
      <c r="J32" s="105" t="s">
        <v>19</v>
      </c>
      <c r="K32" s="106" t="s">
        <v>43</v>
      </c>
      <c r="L32" s="105" t="s">
        <v>27</v>
      </c>
      <c r="M32" s="33">
        <v>1</v>
      </c>
      <c r="N32" s="34" t="s">
        <v>44</v>
      </c>
      <c r="O32" s="35">
        <f>'LRA SP2D'!O33</f>
        <v>27735000</v>
      </c>
      <c r="P32" s="34"/>
      <c r="Q32" s="34"/>
      <c r="R32" s="81">
        <f t="shared" si="4"/>
        <v>27735000</v>
      </c>
      <c r="S32" s="81">
        <f>'LRA SP2D'!R33</f>
        <v>23786479</v>
      </c>
      <c r="T32" s="81">
        <f>'LRA SP2D'!U33</f>
        <v>23786479</v>
      </c>
      <c r="U32" s="81"/>
      <c r="V32" s="81"/>
      <c r="W32" s="81">
        <f t="shared" si="2"/>
        <v>23786479</v>
      </c>
      <c r="X32" s="161">
        <f t="shared" si="3"/>
        <v>3948521</v>
      </c>
      <c r="Y32" s="161">
        <f t="shared" si="5"/>
        <v>0</v>
      </c>
      <c r="Z32" s="162"/>
      <c r="AA32" s="199">
        <f t="shared" si="6"/>
        <v>0.85763400036055526</v>
      </c>
      <c r="AB32" s="3"/>
      <c r="AC32" s="3"/>
      <c r="AD32" s="3"/>
      <c r="AE32" s="3"/>
    </row>
    <row r="33" spans="1:31" ht="33.75" customHeight="1">
      <c r="A33" s="11">
        <v>7</v>
      </c>
      <c r="B33" s="104" t="s">
        <v>19</v>
      </c>
      <c r="C33" s="104" t="s">
        <v>19</v>
      </c>
      <c r="D33" s="12">
        <v>2</v>
      </c>
      <c r="E33" s="104" t="s">
        <v>22</v>
      </c>
      <c r="F33" s="104" t="s">
        <v>19</v>
      </c>
      <c r="G33" s="12">
        <v>5</v>
      </c>
      <c r="H33" s="12">
        <v>1</v>
      </c>
      <c r="I33" s="104" t="s">
        <v>19</v>
      </c>
      <c r="J33" s="104" t="s">
        <v>22</v>
      </c>
      <c r="K33" s="12"/>
      <c r="L33" s="12"/>
      <c r="M33" s="27"/>
      <c r="N33" s="28" t="s">
        <v>45</v>
      </c>
      <c r="O33" s="38">
        <f>O34</f>
        <v>4530000000</v>
      </c>
      <c r="P33" s="53"/>
      <c r="Q33" s="53"/>
      <c r="R33" s="82">
        <f t="shared" si="4"/>
        <v>4530000000</v>
      </c>
      <c r="S33" s="82">
        <f>'LRA SP2D'!R34</f>
        <v>4434157175</v>
      </c>
      <c r="T33" s="170">
        <f>T34</f>
        <v>4434157175</v>
      </c>
      <c r="U33" s="82"/>
      <c r="V33" s="82"/>
      <c r="W33" s="82">
        <f t="shared" si="2"/>
        <v>4434157175</v>
      </c>
      <c r="X33" s="170">
        <f t="shared" si="3"/>
        <v>95842825</v>
      </c>
      <c r="Y33" s="170">
        <f t="shared" si="5"/>
        <v>0</v>
      </c>
      <c r="Z33" s="171">
        <f t="shared" ref="Z33:Z89" si="7">S33-W33</f>
        <v>0</v>
      </c>
      <c r="AA33" s="196">
        <f t="shared" si="6"/>
        <v>0.97884264348785877</v>
      </c>
      <c r="AB33" s="3"/>
      <c r="AC33" s="3"/>
      <c r="AD33" s="3"/>
      <c r="AE33" s="3"/>
    </row>
    <row r="34" spans="1:31" ht="33.75" customHeight="1">
      <c r="A34" s="11">
        <v>7</v>
      </c>
      <c r="B34" s="104" t="s">
        <v>19</v>
      </c>
      <c r="C34" s="104" t="s">
        <v>19</v>
      </c>
      <c r="D34" s="12">
        <v>2</v>
      </c>
      <c r="E34" s="104" t="s">
        <v>22</v>
      </c>
      <c r="F34" s="104" t="s">
        <v>19</v>
      </c>
      <c r="G34" s="12">
        <v>5</v>
      </c>
      <c r="H34" s="12">
        <v>1</v>
      </c>
      <c r="I34" s="104" t="s">
        <v>19</v>
      </c>
      <c r="J34" s="104" t="s">
        <v>22</v>
      </c>
      <c r="K34" s="104" t="s">
        <v>19</v>
      </c>
      <c r="L34" s="12"/>
      <c r="M34" s="27"/>
      <c r="N34" s="37" t="s">
        <v>46</v>
      </c>
      <c r="O34" s="38">
        <f>O35</f>
        <v>4530000000</v>
      </c>
      <c r="P34" s="53"/>
      <c r="Q34" s="53"/>
      <c r="R34" s="82">
        <f t="shared" si="4"/>
        <v>4530000000</v>
      </c>
      <c r="S34" s="82">
        <f>'LRA SP2D'!R35</f>
        <v>4434157175</v>
      </c>
      <c r="T34" s="170">
        <f>T35</f>
        <v>4434157175</v>
      </c>
      <c r="U34" s="82"/>
      <c r="V34" s="82"/>
      <c r="W34" s="82">
        <f t="shared" si="2"/>
        <v>4434157175</v>
      </c>
      <c r="X34" s="170">
        <f t="shared" si="3"/>
        <v>95842825</v>
      </c>
      <c r="Y34" s="170">
        <f t="shared" si="5"/>
        <v>0</v>
      </c>
      <c r="Z34" s="171">
        <f t="shared" si="7"/>
        <v>0</v>
      </c>
      <c r="AA34" s="196">
        <f t="shared" si="6"/>
        <v>0.97884264348785877</v>
      </c>
      <c r="AB34" s="3"/>
      <c r="AC34" s="3"/>
      <c r="AD34" s="3"/>
      <c r="AE34" s="3"/>
    </row>
    <row r="35" spans="1:31" ht="33.75" customHeight="1">
      <c r="A35" s="15">
        <v>7</v>
      </c>
      <c r="B35" s="105" t="s">
        <v>19</v>
      </c>
      <c r="C35" s="105" t="s">
        <v>19</v>
      </c>
      <c r="D35" s="16">
        <v>2</v>
      </c>
      <c r="E35" s="105" t="s">
        <v>22</v>
      </c>
      <c r="F35" s="105" t="s">
        <v>19</v>
      </c>
      <c r="G35" s="16">
        <v>5</v>
      </c>
      <c r="H35" s="16">
        <v>1</v>
      </c>
      <c r="I35" s="105" t="s">
        <v>19</v>
      </c>
      <c r="J35" s="105" t="s">
        <v>22</v>
      </c>
      <c r="K35" s="105" t="s">
        <v>19</v>
      </c>
      <c r="L35" s="105" t="s">
        <v>27</v>
      </c>
      <c r="M35" s="33">
        <v>1</v>
      </c>
      <c r="N35" s="39" t="s">
        <v>46</v>
      </c>
      <c r="O35" s="35">
        <f>'LRA SP2D'!O36</f>
        <v>4530000000</v>
      </c>
      <c r="P35" s="34"/>
      <c r="Q35" s="34"/>
      <c r="R35" s="81">
        <f t="shared" si="4"/>
        <v>4530000000</v>
      </c>
      <c r="S35" s="81">
        <f>'LRA SP2D'!R36</f>
        <v>4434157175</v>
      </c>
      <c r="T35" s="161">
        <f>S35</f>
        <v>4434157175</v>
      </c>
      <c r="U35" s="81"/>
      <c r="V35" s="81"/>
      <c r="W35" s="81">
        <f t="shared" si="2"/>
        <v>4434157175</v>
      </c>
      <c r="X35" s="161">
        <f t="shared" si="3"/>
        <v>95842825</v>
      </c>
      <c r="Y35" s="161">
        <f t="shared" si="5"/>
        <v>0</v>
      </c>
      <c r="Z35" s="162">
        <f t="shared" si="7"/>
        <v>0</v>
      </c>
      <c r="AA35" s="199">
        <f t="shared" si="6"/>
        <v>0.97884264348785877</v>
      </c>
      <c r="AB35" s="3"/>
      <c r="AC35" s="3"/>
      <c r="AD35" s="3"/>
      <c r="AE35" s="3"/>
    </row>
    <row r="36" spans="1:31" ht="16.3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33"/>
      <c r="N36" s="39"/>
      <c r="O36" s="34"/>
      <c r="P36" s="34"/>
      <c r="Q36" s="34"/>
      <c r="R36" s="81">
        <f t="shared" si="4"/>
        <v>0</v>
      </c>
      <c r="S36" s="34"/>
      <c r="T36" s="34"/>
      <c r="U36" s="81"/>
      <c r="V36" s="81"/>
      <c r="W36" s="81">
        <f t="shared" si="2"/>
        <v>0</v>
      </c>
      <c r="X36" s="161">
        <f t="shared" si="3"/>
        <v>0</v>
      </c>
      <c r="Y36" s="161">
        <f t="shared" si="5"/>
        <v>0</v>
      </c>
      <c r="Z36" s="162">
        <f t="shared" si="7"/>
        <v>0</v>
      </c>
      <c r="AA36" s="199"/>
      <c r="AB36" s="3"/>
      <c r="AC36" s="3"/>
      <c r="AD36" s="3"/>
      <c r="AE36" s="3"/>
    </row>
    <row r="37" spans="1:31" ht="42.75" customHeight="1">
      <c r="A37" s="9">
        <v>7</v>
      </c>
      <c r="B37" s="102" t="s">
        <v>19</v>
      </c>
      <c r="C37" s="102" t="s">
        <v>19</v>
      </c>
      <c r="D37" s="10">
        <v>2</v>
      </c>
      <c r="E37" s="102" t="s">
        <v>34</v>
      </c>
      <c r="F37" s="10"/>
      <c r="G37" s="10"/>
      <c r="H37" s="10"/>
      <c r="I37" s="10"/>
      <c r="J37" s="10"/>
      <c r="K37" s="10"/>
      <c r="L37" s="10"/>
      <c r="M37" s="24"/>
      <c r="N37" s="25" t="s">
        <v>47</v>
      </c>
      <c r="O37" s="163">
        <f>O39+O45+O59+O65</f>
        <v>0</v>
      </c>
      <c r="P37" s="163">
        <f>P39+P45+P59+P65</f>
        <v>511669850</v>
      </c>
      <c r="Q37" s="163">
        <f>Q39+Q45+Q59+Q65</f>
        <v>0</v>
      </c>
      <c r="R37" s="163">
        <f>R39+R45+R59+R65</f>
        <v>511669850</v>
      </c>
      <c r="S37" s="163">
        <f>S38+S39+S45+S59+S65</f>
        <v>1210252093</v>
      </c>
      <c r="T37" s="163">
        <f>T39+T45+T59+T65</f>
        <v>0</v>
      </c>
      <c r="U37" s="163">
        <f>U39+U45+U59+U65</f>
        <v>449403593</v>
      </c>
      <c r="V37" s="163">
        <f>V39+V45+V59+V65</f>
        <v>0</v>
      </c>
      <c r="W37" s="163">
        <f t="shared" si="2"/>
        <v>449403593</v>
      </c>
      <c r="X37" s="95">
        <f t="shared" si="3"/>
        <v>62266257</v>
      </c>
      <c r="Y37" s="95"/>
      <c r="Z37" s="95">
        <f>Z39+Z45+Z59+Z65</f>
        <v>-11151500</v>
      </c>
      <c r="AA37" s="197">
        <f t="shared" si="6"/>
        <v>0.87830774668470302</v>
      </c>
      <c r="AB37" s="3"/>
      <c r="AC37" s="3"/>
      <c r="AD37" s="3"/>
      <c r="AE37" s="3"/>
    </row>
    <row r="38" spans="1:31" ht="27.75" customHeight="1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7"/>
      <c r="N38" s="28" t="s">
        <v>230</v>
      </c>
      <c r="O38" s="34"/>
      <c r="P38" s="34"/>
      <c r="Q38" s="34"/>
      <c r="R38" s="81"/>
      <c r="S38" s="82">
        <v>772000000</v>
      </c>
      <c r="T38" s="34"/>
      <c r="U38" s="81"/>
      <c r="V38" s="81"/>
      <c r="W38" s="81"/>
      <c r="X38" s="161"/>
      <c r="Y38" s="161"/>
      <c r="Z38" s="162"/>
      <c r="AA38" s="199"/>
      <c r="AB38" s="3"/>
      <c r="AC38" s="3"/>
      <c r="AD38" s="3"/>
      <c r="AE38" s="3"/>
    </row>
    <row r="39" spans="1:31" ht="39.75" customHeight="1">
      <c r="A39" s="13">
        <v>7</v>
      </c>
      <c r="B39" s="103" t="s">
        <v>19</v>
      </c>
      <c r="C39" s="103" t="s">
        <v>19</v>
      </c>
      <c r="D39" s="14">
        <v>2</v>
      </c>
      <c r="E39" s="103" t="s">
        <v>34</v>
      </c>
      <c r="F39" s="103" t="s">
        <v>19</v>
      </c>
      <c r="G39" s="14"/>
      <c r="H39" s="14"/>
      <c r="I39" s="14"/>
      <c r="J39" s="14"/>
      <c r="K39" s="14"/>
      <c r="L39" s="14"/>
      <c r="M39" s="30"/>
      <c r="N39" s="41" t="s">
        <v>48</v>
      </c>
      <c r="O39" s="166"/>
      <c r="P39" s="141">
        <f>P40</f>
        <v>32621700</v>
      </c>
      <c r="Q39" s="164"/>
      <c r="R39" s="165">
        <f t="shared" si="4"/>
        <v>32621700</v>
      </c>
      <c r="S39" s="165">
        <f>S40</f>
        <v>30468500</v>
      </c>
      <c r="T39" s="165"/>
      <c r="U39" s="165">
        <f>U40</f>
        <v>31659500</v>
      </c>
      <c r="V39" s="165"/>
      <c r="W39" s="165">
        <f t="shared" si="2"/>
        <v>31659500</v>
      </c>
      <c r="X39" s="168">
        <f t="shared" si="3"/>
        <v>962200</v>
      </c>
      <c r="Y39" s="168"/>
      <c r="Z39" s="168">
        <f t="shared" si="7"/>
        <v>-1191000</v>
      </c>
      <c r="AA39" s="198">
        <f t="shared" si="6"/>
        <v>0.97050429622000078</v>
      </c>
      <c r="AB39" s="3"/>
      <c r="AC39" s="3"/>
      <c r="AD39" s="3"/>
      <c r="AE39" s="3"/>
    </row>
    <row r="40" spans="1:31" ht="29.25" customHeight="1">
      <c r="A40" s="11">
        <v>7</v>
      </c>
      <c r="B40" s="104" t="s">
        <v>19</v>
      </c>
      <c r="C40" s="104" t="s">
        <v>19</v>
      </c>
      <c r="D40" s="12">
        <v>2</v>
      </c>
      <c r="E40" s="104" t="s">
        <v>34</v>
      </c>
      <c r="F40" s="104" t="s">
        <v>19</v>
      </c>
      <c r="G40" s="12">
        <v>5</v>
      </c>
      <c r="H40" s="12">
        <v>1</v>
      </c>
      <c r="I40" s="104" t="s">
        <v>22</v>
      </c>
      <c r="J40" s="12"/>
      <c r="K40" s="12"/>
      <c r="L40" s="12"/>
      <c r="M40" s="27"/>
      <c r="N40" s="42" t="s">
        <v>49</v>
      </c>
      <c r="O40" s="34"/>
      <c r="P40" s="38">
        <f>P41</f>
        <v>32621700</v>
      </c>
      <c r="Q40" s="53"/>
      <c r="R40" s="82">
        <f t="shared" si="4"/>
        <v>32621700</v>
      </c>
      <c r="S40" s="82">
        <f>S41</f>
        <v>30468500</v>
      </c>
      <c r="T40" s="82"/>
      <c r="U40" s="82">
        <f>U41</f>
        <v>31659500</v>
      </c>
      <c r="V40" s="82"/>
      <c r="W40" s="82">
        <f t="shared" si="2"/>
        <v>31659500</v>
      </c>
      <c r="X40" s="170">
        <f t="shared" si="3"/>
        <v>962200</v>
      </c>
      <c r="Y40" s="170"/>
      <c r="Z40" s="170">
        <f t="shared" si="7"/>
        <v>-1191000</v>
      </c>
      <c r="AA40" s="196">
        <f t="shared" si="6"/>
        <v>0.97050429622000078</v>
      </c>
      <c r="AB40" s="3"/>
      <c r="AC40" s="3"/>
      <c r="AD40" s="3"/>
      <c r="AE40" s="3"/>
    </row>
    <row r="41" spans="1:31" ht="29.25" customHeight="1">
      <c r="A41" s="11">
        <v>7</v>
      </c>
      <c r="B41" s="104" t="s">
        <v>19</v>
      </c>
      <c r="C41" s="104" t="s">
        <v>19</v>
      </c>
      <c r="D41" s="12">
        <v>2</v>
      </c>
      <c r="E41" s="104" t="s">
        <v>34</v>
      </c>
      <c r="F41" s="104" t="s">
        <v>19</v>
      </c>
      <c r="G41" s="12">
        <v>5</v>
      </c>
      <c r="H41" s="12">
        <v>1</v>
      </c>
      <c r="I41" s="104" t="s">
        <v>22</v>
      </c>
      <c r="J41" s="104" t="s">
        <v>19</v>
      </c>
      <c r="K41" s="12"/>
      <c r="L41" s="12"/>
      <c r="M41" s="27"/>
      <c r="N41" s="42" t="s">
        <v>50</v>
      </c>
      <c r="O41" s="34"/>
      <c r="P41" s="38">
        <f>P42</f>
        <v>32621700</v>
      </c>
      <c r="Q41" s="53"/>
      <c r="R41" s="82">
        <f t="shared" si="4"/>
        <v>32621700</v>
      </c>
      <c r="S41" s="82">
        <f>S42</f>
        <v>30468500</v>
      </c>
      <c r="T41" s="82"/>
      <c r="U41" s="82">
        <f>U42</f>
        <v>31659500</v>
      </c>
      <c r="V41" s="82"/>
      <c r="W41" s="82">
        <f t="shared" si="2"/>
        <v>31659500</v>
      </c>
      <c r="X41" s="170">
        <f t="shared" si="3"/>
        <v>962200</v>
      </c>
      <c r="Y41" s="170"/>
      <c r="Z41" s="170">
        <f t="shared" si="7"/>
        <v>-1191000</v>
      </c>
      <c r="AA41" s="196">
        <f t="shared" si="6"/>
        <v>0.97050429622000078</v>
      </c>
      <c r="AB41" s="3"/>
      <c r="AC41" s="3"/>
      <c r="AD41" s="3"/>
      <c r="AE41" s="3"/>
    </row>
    <row r="42" spans="1:31" ht="29.25" customHeight="1">
      <c r="A42" s="11">
        <v>7</v>
      </c>
      <c r="B42" s="104" t="s">
        <v>19</v>
      </c>
      <c r="C42" s="104" t="s">
        <v>19</v>
      </c>
      <c r="D42" s="12">
        <v>2</v>
      </c>
      <c r="E42" s="104" t="s">
        <v>34</v>
      </c>
      <c r="F42" s="104" t="s">
        <v>19</v>
      </c>
      <c r="G42" s="12">
        <v>5</v>
      </c>
      <c r="H42" s="12">
        <v>1</v>
      </c>
      <c r="I42" s="104" t="s">
        <v>22</v>
      </c>
      <c r="J42" s="104" t="s">
        <v>19</v>
      </c>
      <c r="K42" s="104" t="s">
        <v>19</v>
      </c>
      <c r="L42" s="12"/>
      <c r="M42" s="27"/>
      <c r="N42" s="42" t="s">
        <v>51</v>
      </c>
      <c r="O42" s="34"/>
      <c r="P42" s="38">
        <f>P43</f>
        <v>32621700</v>
      </c>
      <c r="Q42" s="53"/>
      <c r="R42" s="82">
        <f t="shared" si="4"/>
        <v>32621700</v>
      </c>
      <c r="S42" s="82">
        <f>S43</f>
        <v>30468500</v>
      </c>
      <c r="T42" s="82"/>
      <c r="U42" s="82">
        <f>U43</f>
        <v>31659500</v>
      </c>
      <c r="V42" s="82"/>
      <c r="W42" s="82">
        <f t="shared" si="2"/>
        <v>31659500</v>
      </c>
      <c r="X42" s="170">
        <f t="shared" si="3"/>
        <v>962200</v>
      </c>
      <c r="Y42" s="170"/>
      <c r="Z42" s="170">
        <f t="shared" si="7"/>
        <v>-1191000</v>
      </c>
      <c r="AA42" s="196">
        <f t="shared" si="6"/>
        <v>0.97050429622000078</v>
      </c>
      <c r="AB42" s="3"/>
      <c r="AC42" s="3"/>
      <c r="AD42" s="3"/>
      <c r="AE42" s="3"/>
    </row>
    <row r="43" spans="1:31" ht="41.25" customHeight="1">
      <c r="A43" s="15">
        <v>7</v>
      </c>
      <c r="B43" s="105" t="s">
        <v>19</v>
      </c>
      <c r="C43" s="105" t="s">
        <v>19</v>
      </c>
      <c r="D43" s="16">
        <v>2</v>
      </c>
      <c r="E43" s="105" t="s">
        <v>34</v>
      </c>
      <c r="F43" s="105" t="s">
        <v>19</v>
      </c>
      <c r="G43" s="16">
        <v>5</v>
      </c>
      <c r="H43" s="16">
        <v>1</v>
      </c>
      <c r="I43" s="105" t="s">
        <v>22</v>
      </c>
      <c r="J43" s="105" t="s">
        <v>19</v>
      </c>
      <c r="K43" s="105" t="s">
        <v>19</v>
      </c>
      <c r="L43" s="105" t="s">
        <v>52</v>
      </c>
      <c r="M43" s="33">
        <v>1</v>
      </c>
      <c r="N43" s="39" t="s">
        <v>53</v>
      </c>
      <c r="O43" s="34"/>
      <c r="P43" s="35">
        <f>'LRA SP2D'!O44</f>
        <v>32621700</v>
      </c>
      <c r="Q43" s="34"/>
      <c r="R43" s="81">
        <f t="shared" si="4"/>
        <v>32621700</v>
      </c>
      <c r="S43" s="81">
        <f>'LRA SP2D'!R44</f>
        <v>30468500</v>
      </c>
      <c r="T43" s="81"/>
      <c r="U43" s="81">
        <f>'LRA SP2D'!U44</f>
        <v>31659500</v>
      </c>
      <c r="V43" s="81"/>
      <c r="W43" s="81">
        <f t="shared" si="2"/>
        <v>31659500</v>
      </c>
      <c r="X43" s="170">
        <f t="shared" si="3"/>
        <v>962200</v>
      </c>
      <c r="Y43" s="161"/>
      <c r="Z43" s="161">
        <f t="shared" si="7"/>
        <v>-1191000</v>
      </c>
      <c r="AA43" s="199">
        <f t="shared" si="6"/>
        <v>0.97050429622000078</v>
      </c>
      <c r="AB43" s="3"/>
      <c r="AC43" s="3"/>
      <c r="AD43" s="3"/>
      <c r="AE43" s="3"/>
    </row>
    <row r="44" spans="1:31" ht="16.3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33"/>
      <c r="N44" s="34"/>
      <c r="O44" s="34"/>
      <c r="P44" s="34"/>
      <c r="Q44" s="34"/>
      <c r="R44" s="81"/>
      <c r="S44" s="34"/>
      <c r="T44" s="81"/>
      <c r="U44" s="81"/>
      <c r="V44" s="81"/>
      <c r="W44" s="81"/>
      <c r="X44" s="161"/>
      <c r="Y44" s="161"/>
      <c r="Z44" s="161"/>
      <c r="AA44" s="199"/>
      <c r="AB44" s="3"/>
      <c r="AC44" s="3"/>
      <c r="AD44" s="3"/>
      <c r="AE44" s="3"/>
    </row>
    <row r="45" spans="1:31" ht="25.5" customHeight="1">
      <c r="A45" s="13">
        <v>7</v>
      </c>
      <c r="B45" s="103" t="s">
        <v>19</v>
      </c>
      <c r="C45" s="103" t="s">
        <v>19</v>
      </c>
      <c r="D45" s="14">
        <v>2</v>
      </c>
      <c r="E45" s="103" t="s">
        <v>34</v>
      </c>
      <c r="F45" s="103" t="s">
        <v>54</v>
      </c>
      <c r="G45" s="14"/>
      <c r="H45" s="14"/>
      <c r="I45" s="14"/>
      <c r="J45" s="14"/>
      <c r="K45" s="14"/>
      <c r="L45" s="14"/>
      <c r="M45" s="30"/>
      <c r="N45" s="41" t="s">
        <v>55</v>
      </c>
      <c r="O45" s="164"/>
      <c r="P45" s="141">
        <f>P46</f>
        <v>175804400</v>
      </c>
      <c r="Q45" s="164"/>
      <c r="R45" s="165">
        <f t="shared" si="4"/>
        <v>175804400</v>
      </c>
      <c r="S45" s="141">
        <f>S46</f>
        <v>164353650</v>
      </c>
      <c r="T45" s="165"/>
      <c r="U45" s="141">
        <f>U46</f>
        <v>166404150</v>
      </c>
      <c r="V45" s="165"/>
      <c r="W45" s="165">
        <f t="shared" si="2"/>
        <v>166404150</v>
      </c>
      <c r="X45" s="168">
        <f t="shared" si="3"/>
        <v>9400250</v>
      </c>
      <c r="Y45" s="168"/>
      <c r="Z45" s="168">
        <f t="shared" si="7"/>
        <v>-2050500</v>
      </c>
      <c r="AA45" s="198">
        <f t="shared" si="6"/>
        <v>0.94653006409395901</v>
      </c>
      <c r="AB45" s="3"/>
      <c r="AC45" s="3"/>
      <c r="AD45" s="3"/>
      <c r="AE45" s="3"/>
    </row>
    <row r="46" spans="1:31" ht="25.5" customHeight="1">
      <c r="A46" s="11">
        <v>7</v>
      </c>
      <c r="B46" s="104" t="s">
        <v>19</v>
      </c>
      <c r="C46" s="104" t="s">
        <v>19</v>
      </c>
      <c r="D46" s="12">
        <v>2</v>
      </c>
      <c r="E46" s="104" t="s">
        <v>34</v>
      </c>
      <c r="F46" s="104" t="s">
        <v>54</v>
      </c>
      <c r="G46" s="12">
        <v>5</v>
      </c>
      <c r="H46" s="12">
        <v>1</v>
      </c>
      <c r="I46" s="104" t="s">
        <v>22</v>
      </c>
      <c r="J46" s="12"/>
      <c r="K46" s="12"/>
      <c r="L46" s="12"/>
      <c r="M46" s="27"/>
      <c r="N46" s="42" t="s">
        <v>49</v>
      </c>
      <c r="O46" s="53"/>
      <c r="P46" s="38">
        <f>P47+P55</f>
        <v>175804400</v>
      </c>
      <c r="Q46" s="53"/>
      <c r="R46" s="82">
        <f t="shared" si="4"/>
        <v>175804400</v>
      </c>
      <c r="S46" s="38">
        <f>S47+S55</f>
        <v>164353650</v>
      </c>
      <c r="T46" s="82"/>
      <c r="U46" s="38">
        <f>U47+U55</f>
        <v>166404150</v>
      </c>
      <c r="V46" s="82"/>
      <c r="W46" s="82">
        <f t="shared" si="2"/>
        <v>166404150</v>
      </c>
      <c r="X46" s="170">
        <f t="shared" si="3"/>
        <v>9400250</v>
      </c>
      <c r="Y46" s="170"/>
      <c r="Z46" s="170">
        <f t="shared" si="7"/>
        <v>-2050500</v>
      </c>
      <c r="AA46" s="196">
        <f t="shared" si="6"/>
        <v>0.94653006409395901</v>
      </c>
      <c r="AB46" s="3"/>
      <c r="AC46" s="3"/>
      <c r="AD46" s="3"/>
      <c r="AE46" s="3"/>
    </row>
    <row r="47" spans="1:31" ht="25.5" customHeight="1">
      <c r="A47" s="11">
        <v>7</v>
      </c>
      <c r="B47" s="104" t="s">
        <v>19</v>
      </c>
      <c r="C47" s="104" t="s">
        <v>19</v>
      </c>
      <c r="D47" s="12">
        <v>2</v>
      </c>
      <c r="E47" s="104" t="s">
        <v>34</v>
      </c>
      <c r="F47" s="104" t="s">
        <v>54</v>
      </c>
      <c r="G47" s="12">
        <v>5</v>
      </c>
      <c r="H47" s="12">
        <v>1</v>
      </c>
      <c r="I47" s="104" t="s">
        <v>22</v>
      </c>
      <c r="J47" s="104" t="s">
        <v>19</v>
      </c>
      <c r="K47" s="12"/>
      <c r="L47" s="12"/>
      <c r="M47" s="27"/>
      <c r="N47" s="42" t="s">
        <v>50</v>
      </c>
      <c r="O47" s="53"/>
      <c r="P47" s="38">
        <f>P48</f>
        <v>174004400</v>
      </c>
      <c r="Q47" s="53"/>
      <c r="R47" s="82">
        <f t="shared" si="4"/>
        <v>174004400</v>
      </c>
      <c r="S47" s="38">
        <f>S48</f>
        <v>162853650</v>
      </c>
      <c r="T47" s="82"/>
      <c r="U47" s="38">
        <f>U48</f>
        <v>164904150</v>
      </c>
      <c r="V47" s="82"/>
      <c r="W47" s="82">
        <f t="shared" si="2"/>
        <v>164904150</v>
      </c>
      <c r="X47" s="170">
        <f t="shared" si="3"/>
        <v>9100250</v>
      </c>
      <c r="Y47" s="170">
        <v>0</v>
      </c>
      <c r="Z47" s="170">
        <f t="shared" si="7"/>
        <v>-2050500</v>
      </c>
      <c r="AA47" s="196">
        <f t="shared" si="6"/>
        <v>0.94770103514623771</v>
      </c>
      <c r="AB47" s="3"/>
      <c r="AC47" s="3"/>
      <c r="AD47" s="3"/>
      <c r="AE47" s="3"/>
    </row>
    <row r="48" spans="1:31" ht="25.5" customHeight="1">
      <c r="A48" s="11">
        <v>7</v>
      </c>
      <c r="B48" s="104" t="s">
        <v>19</v>
      </c>
      <c r="C48" s="104" t="s">
        <v>19</v>
      </c>
      <c r="D48" s="12">
        <v>2</v>
      </c>
      <c r="E48" s="104" t="s">
        <v>34</v>
      </c>
      <c r="F48" s="104" t="s">
        <v>54</v>
      </c>
      <c r="G48" s="12">
        <v>5</v>
      </c>
      <c r="H48" s="12">
        <v>1</v>
      </c>
      <c r="I48" s="104" t="s">
        <v>22</v>
      </c>
      <c r="J48" s="104" t="s">
        <v>19</v>
      </c>
      <c r="K48" s="104" t="s">
        <v>19</v>
      </c>
      <c r="L48" s="12"/>
      <c r="M48" s="27"/>
      <c r="N48" s="42" t="s">
        <v>51</v>
      </c>
      <c r="O48" s="53"/>
      <c r="P48" s="38">
        <f>SUM(P49:P54)</f>
        <v>174004400</v>
      </c>
      <c r="Q48" s="53"/>
      <c r="R48" s="82">
        <f>O48+P48+Q48</f>
        <v>174004400</v>
      </c>
      <c r="S48" s="38">
        <f>SUM(S49:S54)</f>
        <v>162853650</v>
      </c>
      <c r="T48" s="82">
        <f>SUM(T49:T54)</f>
        <v>0</v>
      </c>
      <c r="U48" s="82">
        <f>SUM(U49:U54)</f>
        <v>164904150</v>
      </c>
      <c r="V48" s="82">
        <f>SUM(V49:V54)</f>
        <v>0</v>
      </c>
      <c r="W48" s="82">
        <f t="shared" si="2"/>
        <v>164904150</v>
      </c>
      <c r="X48" s="170">
        <f t="shared" si="3"/>
        <v>9100250</v>
      </c>
      <c r="Y48" s="170">
        <v>0</v>
      </c>
      <c r="Z48" s="170">
        <f>S48-W48</f>
        <v>-2050500</v>
      </c>
      <c r="AA48" s="196">
        <f t="shared" si="6"/>
        <v>0.94770103514623771</v>
      </c>
      <c r="AB48" s="3"/>
      <c r="AC48" s="3"/>
      <c r="AD48" s="3"/>
      <c r="AE48" s="3"/>
    </row>
    <row r="49" spans="1:31" ht="25.5" customHeight="1">
      <c r="A49" s="15">
        <v>7</v>
      </c>
      <c r="B49" s="105" t="s">
        <v>19</v>
      </c>
      <c r="C49" s="105" t="s">
        <v>19</v>
      </c>
      <c r="D49" s="16">
        <v>2</v>
      </c>
      <c r="E49" s="105" t="s">
        <v>34</v>
      </c>
      <c r="F49" s="105" t="s">
        <v>54</v>
      </c>
      <c r="G49" s="16">
        <v>5</v>
      </c>
      <c r="H49" s="16">
        <v>1</v>
      </c>
      <c r="I49" s="105" t="s">
        <v>22</v>
      </c>
      <c r="J49" s="105" t="s">
        <v>19</v>
      </c>
      <c r="K49" s="105" t="s">
        <v>19</v>
      </c>
      <c r="L49" s="105" t="s">
        <v>56</v>
      </c>
      <c r="M49" s="33">
        <v>4</v>
      </c>
      <c r="N49" s="34" t="s">
        <v>57</v>
      </c>
      <c r="O49" s="34"/>
      <c r="P49" s="35">
        <f>'LRA SP2D'!O50</f>
        <v>25206400</v>
      </c>
      <c r="Q49" s="34"/>
      <c r="R49" s="81">
        <f t="shared" si="4"/>
        <v>25206400</v>
      </c>
      <c r="S49" s="81">
        <f>'LRA SP2D'!R50</f>
        <v>24461150</v>
      </c>
      <c r="T49" s="81"/>
      <c r="U49" s="81">
        <f>'LRA SP2D'!U50</f>
        <v>24461150</v>
      </c>
      <c r="V49" s="81"/>
      <c r="W49" s="81">
        <f t="shared" si="2"/>
        <v>24461150</v>
      </c>
      <c r="X49" s="161">
        <f t="shared" si="3"/>
        <v>745250</v>
      </c>
      <c r="Y49" s="161">
        <v>0</v>
      </c>
      <c r="Z49" s="161">
        <f t="shared" si="7"/>
        <v>0</v>
      </c>
      <c r="AA49" s="199">
        <f t="shared" si="6"/>
        <v>0.97043409610257714</v>
      </c>
      <c r="AB49" s="3"/>
      <c r="AC49" s="3"/>
      <c r="AD49" s="3"/>
      <c r="AE49" s="3"/>
    </row>
    <row r="50" spans="1:31" ht="39" customHeight="1">
      <c r="A50" s="15">
        <v>7</v>
      </c>
      <c r="B50" s="105" t="s">
        <v>19</v>
      </c>
      <c r="C50" s="105" t="s">
        <v>19</v>
      </c>
      <c r="D50" s="16">
        <v>2</v>
      </c>
      <c r="E50" s="105" t="s">
        <v>34</v>
      </c>
      <c r="F50" s="105" t="s">
        <v>54</v>
      </c>
      <c r="G50" s="16">
        <v>5</v>
      </c>
      <c r="H50" s="16">
        <v>1</v>
      </c>
      <c r="I50" s="105" t="s">
        <v>22</v>
      </c>
      <c r="J50" s="105" t="s">
        <v>19</v>
      </c>
      <c r="K50" s="105" t="s">
        <v>19</v>
      </c>
      <c r="L50" s="105" t="s">
        <v>56</v>
      </c>
      <c r="M50" s="33">
        <v>5</v>
      </c>
      <c r="N50" s="39" t="s">
        <v>58</v>
      </c>
      <c r="O50" s="34"/>
      <c r="P50" s="35">
        <f>'LRA SP2D'!O51</f>
        <v>40849000</v>
      </c>
      <c r="Q50" s="34"/>
      <c r="R50" s="81">
        <f t="shared" si="4"/>
        <v>40849000</v>
      </c>
      <c r="S50" s="81">
        <f>'LRA SP2D'!R51</f>
        <v>37462000</v>
      </c>
      <c r="T50" s="81"/>
      <c r="U50" s="81">
        <f>'LRA SP2D'!U51</f>
        <v>37572000</v>
      </c>
      <c r="V50" s="81"/>
      <c r="W50" s="81">
        <f t="shared" si="2"/>
        <v>37572000</v>
      </c>
      <c r="X50" s="161">
        <f t="shared" si="3"/>
        <v>3277000</v>
      </c>
      <c r="Y50" s="161">
        <v>0</v>
      </c>
      <c r="Z50" s="161">
        <f t="shared" si="7"/>
        <v>-110000</v>
      </c>
      <c r="AA50" s="199">
        <f t="shared" si="6"/>
        <v>0.91977771793679164</v>
      </c>
      <c r="AB50" s="3"/>
      <c r="AC50" s="3"/>
      <c r="AD50" s="3"/>
      <c r="AE50" s="3"/>
    </row>
    <row r="51" spans="1:31" ht="25.5" customHeight="1">
      <c r="A51" s="15">
        <v>7</v>
      </c>
      <c r="B51" s="105" t="s">
        <v>19</v>
      </c>
      <c r="C51" s="105" t="s">
        <v>19</v>
      </c>
      <c r="D51" s="16">
        <v>2</v>
      </c>
      <c r="E51" s="105" t="s">
        <v>34</v>
      </c>
      <c r="F51" s="105" t="s">
        <v>54</v>
      </c>
      <c r="G51" s="16">
        <v>5</v>
      </c>
      <c r="H51" s="16">
        <v>1</v>
      </c>
      <c r="I51" s="105" t="s">
        <v>22</v>
      </c>
      <c r="J51" s="105" t="s">
        <v>19</v>
      </c>
      <c r="K51" s="105" t="s">
        <v>19</v>
      </c>
      <c r="L51" s="105" t="s">
        <v>56</v>
      </c>
      <c r="M51" s="33">
        <v>6</v>
      </c>
      <c r="N51" s="34" t="s">
        <v>62</v>
      </c>
      <c r="O51" s="34"/>
      <c r="P51" s="35">
        <f>'LRA SP2D'!O52</f>
        <v>115000</v>
      </c>
      <c r="Q51" s="34"/>
      <c r="R51" s="81">
        <f t="shared" si="4"/>
        <v>115000</v>
      </c>
      <c r="S51" s="81">
        <f>'LRA SP2D'!R52</f>
        <v>115000</v>
      </c>
      <c r="T51" s="81"/>
      <c r="U51" s="81">
        <f>'LRA SP2D'!U52</f>
        <v>115000</v>
      </c>
      <c r="V51" s="81"/>
      <c r="W51" s="81">
        <f t="shared" si="2"/>
        <v>115000</v>
      </c>
      <c r="X51" s="161">
        <f t="shared" si="3"/>
        <v>0</v>
      </c>
      <c r="Y51" s="161">
        <f t="shared" si="5"/>
        <v>0</v>
      </c>
      <c r="Z51" s="161">
        <f t="shared" si="7"/>
        <v>0</v>
      </c>
      <c r="AA51" s="199">
        <f t="shared" si="6"/>
        <v>1</v>
      </c>
      <c r="AB51" s="3"/>
      <c r="AC51" s="3"/>
      <c r="AD51" s="3"/>
      <c r="AE51" s="3"/>
    </row>
    <row r="52" spans="1:31" ht="37.5" customHeight="1">
      <c r="A52" s="15">
        <v>7</v>
      </c>
      <c r="B52" s="105" t="s">
        <v>19</v>
      </c>
      <c r="C52" s="105" t="s">
        <v>19</v>
      </c>
      <c r="D52" s="16">
        <v>2</v>
      </c>
      <c r="E52" s="105" t="s">
        <v>34</v>
      </c>
      <c r="F52" s="105" t="s">
        <v>54</v>
      </c>
      <c r="G52" s="16">
        <v>5</v>
      </c>
      <c r="H52" s="16">
        <v>1</v>
      </c>
      <c r="I52" s="105" t="s">
        <v>22</v>
      </c>
      <c r="J52" s="105" t="s">
        <v>19</v>
      </c>
      <c r="K52" s="105" t="s">
        <v>19</v>
      </c>
      <c r="L52" s="105" t="s">
        <v>56</v>
      </c>
      <c r="M52" s="33">
        <v>9</v>
      </c>
      <c r="N52" s="39" t="s">
        <v>59</v>
      </c>
      <c r="O52" s="34"/>
      <c r="P52" s="35">
        <f>'LRA SP2D'!O53</f>
        <v>47550000</v>
      </c>
      <c r="Q52" s="34"/>
      <c r="R52" s="81">
        <f t="shared" si="4"/>
        <v>47550000</v>
      </c>
      <c r="S52" s="81">
        <f>'LRA SP2D'!R53</f>
        <v>46481000</v>
      </c>
      <c r="T52" s="81"/>
      <c r="U52" s="81">
        <f>'LRA SP2D'!U53</f>
        <v>46481000</v>
      </c>
      <c r="V52" s="81"/>
      <c r="W52" s="81">
        <f t="shared" si="2"/>
        <v>46481000</v>
      </c>
      <c r="X52" s="161">
        <f t="shared" si="3"/>
        <v>1069000</v>
      </c>
      <c r="Y52" s="161"/>
      <c r="Z52" s="161">
        <f t="shared" si="7"/>
        <v>0</v>
      </c>
      <c r="AA52" s="199">
        <f t="shared" si="6"/>
        <v>0.97751840168243953</v>
      </c>
      <c r="AB52" s="3"/>
      <c r="AC52" s="3"/>
      <c r="AD52" s="3"/>
      <c r="AE52" s="3"/>
    </row>
    <row r="53" spans="1:31" ht="40.5" customHeight="1">
      <c r="A53" s="15">
        <v>7</v>
      </c>
      <c r="B53" s="105" t="s">
        <v>19</v>
      </c>
      <c r="C53" s="105" t="s">
        <v>19</v>
      </c>
      <c r="D53" s="16">
        <v>2</v>
      </c>
      <c r="E53" s="105" t="s">
        <v>34</v>
      </c>
      <c r="F53" s="105" t="s">
        <v>54</v>
      </c>
      <c r="G53" s="16">
        <v>5</v>
      </c>
      <c r="H53" s="16">
        <v>1</v>
      </c>
      <c r="I53" s="105" t="s">
        <v>22</v>
      </c>
      <c r="J53" s="105" t="s">
        <v>19</v>
      </c>
      <c r="K53" s="105" t="s">
        <v>19</v>
      </c>
      <c r="L53" s="105" t="s">
        <v>52</v>
      </c>
      <c r="M53" s="33">
        <v>0</v>
      </c>
      <c r="N53" s="39" t="s">
        <v>173</v>
      </c>
      <c r="O53" s="34"/>
      <c r="P53" s="35">
        <f>'LRA SP2D'!O54</f>
        <v>24193000</v>
      </c>
      <c r="Q53" s="34"/>
      <c r="R53" s="81">
        <f t="shared" si="4"/>
        <v>24193000</v>
      </c>
      <c r="S53" s="81">
        <f>'LRA SP2D'!R54</f>
        <v>22193500</v>
      </c>
      <c r="T53" s="81"/>
      <c r="U53" s="81">
        <f>'LRA SP2D'!U54</f>
        <v>22178500</v>
      </c>
      <c r="V53" s="81"/>
      <c r="W53" s="81">
        <f t="shared" si="2"/>
        <v>22178500</v>
      </c>
      <c r="X53" s="161">
        <f t="shared" si="3"/>
        <v>2014500</v>
      </c>
      <c r="Y53" s="161"/>
      <c r="Z53" s="161">
        <f t="shared" si="7"/>
        <v>15000</v>
      </c>
      <c r="AA53" s="199">
        <f t="shared" si="6"/>
        <v>0.91673211259455212</v>
      </c>
      <c r="AB53" s="3"/>
      <c r="AC53" s="3"/>
      <c r="AD53" s="3"/>
      <c r="AE53" s="3"/>
    </row>
    <row r="54" spans="1:31" ht="39" customHeight="1">
      <c r="A54" s="15">
        <v>7</v>
      </c>
      <c r="B54" s="105" t="s">
        <v>19</v>
      </c>
      <c r="C54" s="105" t="s">
        <v>19</v>
      </c>
      <c r="D54" s="16">
        <v>2</v>
      </c>
      <c r="E54" s="105" t="s">
        <v>34</v>
      </c>
      <c r="F54" s="105" t="s">
        <v>54</v>
      </c>
      <c r="G54" s="16">
        <v>5</v>
      </c>
      <c r="H54" s="16">
        <v>1</v>
      </c>
      <c r="I54" s="105" t="s">
        <v>22</v>
      </c>
      <c r="J54" s="105" t="s">
        <v>19</v>
      </c>
      <c r="K54" s="105" t="s">
        <v>19</v>
      </c>
      <c r="L54" s="105" t="s">
        <v>52</v>
      </c>
      <c r="M54" s="33">
        <v>6</v>
      </c>
      <c r="N54" s="39" t="s">
        <v>60</v>
      </c>
      <c r="O54" s="34"/>
      <c r="P54" s="35">
        <f>'LRA SP2D'!O55</f>
        <v>36091000</v>
      </c>
      <c r="Q54" s="34"/>
      <c r="R54" s="81">
        <f t="shared" si="4"/>
        <v>36091000</v>
      </c>
      <c r="S54" s="81">
        <f>'LRA SP2D'!R55</f>
        <v>32141000</v>
      </c>
      <c r="T54" s="81"/>
      <c r="U54" s="81">
        <f>'LRA SP2D'!U55</f>
        <v>34096500</v>
      </c>
      <c r="V54" s="81"/>
      <c r="W54" s="81">
        <f t="shared" si="2"/>
        <v>34096500</v>
      </c>
      <c r="X54" s="161">
        <f t="shared" si="3"/>
        <v>1994500</v>
      </c>
      <c r="Y54" s="161">
        <v>0</v>
      </c>
      <c r="Z54" s="161">
        <f t="shared" si="7"/>
        <v>-1955500</v>
      </c>
      <c r="AA54" s="199">
        <f t="shared" si="6"/>
        <v>0.94473691502036516</v>
      </c>
      <c r="AB54" s="3"/>
      <c r="AC54" s="3"/>
      <c r="AD54" s="3"/>
      <c r="AE54" s="3"/>
    </row>
    <row r="55" spans="1:31" ht="24.75" customHeight="1">
      <c r="A55" s="11">
        <v>7</v>
      </c>
      <c r="B55" s="104" t="s">
        <v>19</v>
      </c>
      <c r="C55" s="104" t="s">
        <v>19</v>
      </c>
      <c r="D55" s="12">
        <v>2</v>
      </c>
      <c r="E55" s="104" t="s">
        <v>34</v>
      </c>
      <c r="F55" s="104" t="s">
        <v>54</v>
      </c>
      <c r="G55" s="12">
        <v>5</v>
      </c>
      <c r="H55" s="12">
        <v>1</v>
      </c>
      <c r="I55" s="104" t="s">
        <v>22</v>
      </c>
      <c r="J55" s="104" t="s">
        <v>22</v>
      </c>
      <c r="K55" s="12"/>
      <c r="L55" s="12"/>
      <c r="M55" s="27"/>
      <c r="N55" s="42" t="s">
        <v>75</v>
      </c>
      <c r="O55" s="34"/>
      <c r="P55" s="38">
        <f>'LRA SP2D'!O56</f>
        <v>1800000</v>
      </c>
      <c r="Q55" s="53"/>
      <c r="R55" s="82">
        <f t="shared" si="4"/>
        <v>1800000</v>
      </c>
      <c r="S55" s="82">
        <f>'LRA SP2D'!R56</f>
        <v>1500000</v>
      </c>
      <c r="T55" s="82"/>
      <c r="U55" s="81">
        <f>'LRA SP2D'!U56</f>
        <v>1500000</v>
      </c>
      <c r="V55" s="82"/>
      <c r="W55" s="82">
        <f t="shared" si="2"/>
        <v>1500000</v>
      </c>
      <c r="X55" s="170">
        <f t="shared" si="3"/>
        <v>300000</v>
      </c>
      <c r="Y55" s="170">
        <f t="shared" si="5"/>
        <v>0</v>
      </c>
      <c r="Z55" s="170">
        <f t="shared" si="7"/>
        <v>0</v>
      </c>
      <c r="AA55" s="196">
        <f t="shared" si="6"/>
        <v>0.83333333333333337</v>
      </c>
      <c r="AB55" s="3"/>
      <c r="AC55" s="3"/>
      <c r="AD55" s="3"/>
      <c r="AE55" s="3"/>
    </row>
    <row r="56" spans="1:31" ht="24.75" customHeight="1">
      <c r="A56" s="11">
        <v>7</v>
      </c>
      <c r="B56" s="104" t="s">
        <v>19</v>
      </c>
      <c r="C56" s="104" t="s">
        <v>19</v>
      </c>
      <c r="D56" s="12">
        <v>2</v>
      </c>
      <c r="E56" s="104" t="s">
        <v>34</v>
      </c>
      <c r="F56" s="104" t="s">
        <v>54</v>
      </c>
      <c r="G56" s="12">
        <v>5</v>
      </c>
      <c r="H56" s="12">
        <v>1</v>
      </c>
      <c r="I56" s="104" t="s">
        <v>22</v>
      </c>
      <c r="J56" s="104" t="s">
        <v>22</v>
      </c>
      <c r="K56" s="104" t="s">
        <v>19</v>
      </c>
      <c r="L56" s="16"/>
      <c r="M56" s="33"/>
      <c r="N56" s="53" t="s">
        <v>76</v>
      </c>
      <c r="O56" s="34"/>
      <c r="P56" s="38">
        <f>'LRA SP2D'!O57</f>
        <v>1800000</v>
      </c>
      <c r="Q56" s="53"/>
      <c r="R56" s="82">
        <f t="shared" si="4"/>
        <v>1800000</v>
      </c>
      <c r="S56" s="82">
        <f>'LRA SP2D'!R57</f>
        <v>1500000</v>
      </c>
      <c r="T56" s="82"/>
      <c r="U56" s="81">
        <f>'LRA SP2D'!U57</f>
        <v>1500000</v>
      </c>
      <c r="V56" s="82"/>
      <c r="W56" s="82">
        <f t="shared" si="2"/>
        <v>1500000</v>
      </c>
      <c r="X56" s="170">
        <f t="shared" si="3"/>
        <v>300000</v>
      </c>
      <c r="Y56" s="170">
        <f t="shared" si="5"/>
        <v>0</v>
      </c>
      <c r="Z56" s="170">
        <f t="shared" si="7"/>
        <v>0</v>
      </c>
      <c r="AA56" s="196">
        <f t="shared" si="6"/>
        <v>0.83333333333333337</v>
      </c>
      <c r="AB56" s="3"/>
      <c r="AC56" s="3"/>
      <c r="AD56" s="3"/>
      <c r="AE56" s="3"/>
    </row>
    <row r="57" spans="1:31" ht="36.75" customHeight="1">
      <c r="A57" s="15">
        <v>7</v>
      </c>
      <c r="B57" s="105" t="s">
        <v>19</v>
      </c>
      <c r="C57" s="105" t="s">
        <v>19</v>
      </c>
      <c r="D57" s="16">
        <v>2</v>
      </c>
      <c r="E57" s="105" t="s">
        <v>34</v>
      </c>
      <c r="F57" s="105" t="s">
        <v>54</v>
      </c>
      <c r="G57" s="16">
        <v>5</v>
      </c>
      <c r="H57" s="16">
        <v>1</v>
      </c>
      <c r="I57" s="105" t="s">
        <v>22</v>
      </c>
      <c r="J57" s="105" t="s">
        <v>22</v>
      </c>
      <c r="K57" s="105" t="s">
        <v>19</v>
      </c>
      <c r="L57" s="105" t="s">
        <v>66</v>
      </c>
      <c r="M57" s="33">
        <v>2</v>
      </c>
      <c r="N57" s="39" t="s">
        <v>174</v>
      </c>
      <c r="O57" s="34"/>
      <c r="P57" s="35">
        <f>'LRA SP2D'!O58</f>
        <v>1800000</v>
      </c>
      <c r="Q57" s="34"/>
      <c r="R57" s="81">
        <f t="shared" si="4"/>
        <v>1800000</v>
      </c>
      <c r="S57" s="81">
        <f>'LRA SP2D'!R58</f>
        <v>1500000</v>
      </c>
      <c r="T57" s="81"/>
      <c r="U57" s="81">
        <f>'LRA SP2D'!U58</f>
        <v>1500000</v>
      </c>
      <c r="V57" s="81"/>
      <c r="W57" s="81">
        <f t="shared" si="2"/>
        <v>1500000</v>
      </c>
      <c r="X57" s="161">
        <f t="shared" si="3"/>
        <v>300000</v>
      </c>
      <c r="Y57" s="161">
        <f t="shared" si="5"/>
        <v>0</v>
      </c>
      <c r="Z57" s="161">
        <f t="shared" si="7"/>
        <v>0</v>
      </c>
      <c r="AA57" s="199">
        <f t="shared" si="6"/>
        <v>0.83333333333333337</v>
      </c>
      <c r="AB57" s="3"/>
      <c r="AC57" s="3"/>
      <c r="AD57" s="3"/>
      <c r="AE57" s="3"/>
    </row>
    <row r="58" spans="1:31" ht="16.3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33"/>
      <c r="N58" s="34"/>
      <c r="O58" s="34"/>
      <c r="P58" s="34"/>
      <c r="Q58" s="34"/>
      <c r="R58" s="81"/>
      <c r="S58" s="34"/>
      <c r="T58" s="81"/>
      <c r="U58" s="81"/>
      <c r="V58" s="81"/>
      <c r="W58" s="81"/>
      <c r="X58" s="161"/>
      <c r="Y58" s="161"/>
      <c r="Z58" s="162"/>
      <c r="AA58" s="199"/>
      <c r="AB58" s="3"/>
      <c r="AC58" s="3"/>
      <c r="AD58" s="3"/>
      <c r="AE58" s="3"/>
    </row>
    <row r="59" spans="1:31" ht="27.75" customHeight="1">
      <c r="A59" s="13">
        <v>7</v>
      </c>
      <c r="B59" s="103" t="s">
        <v>19</v>
      </c>
      <c r="C59" s="103" t="s">
        <v>19</v>
      </c>
      <c r="D59" s="14">
        <v>2</v>
      </c>
      <c r="E59" s="103" t="s">
        <v>34</v>
      </c>
      <c r="F59" s="103" t="s">
        <v>32</v>
      </c>
      <c r="G59" s="14"/>
      <c r="H59" s="14"/>
      <c r="I59" s="14"/>
      <c r="J59" s="14"/>
      <c r="K59" s="14"/>
      <c r="L59" s="14"/>
      <c r="M59" s="30"/>
      <c r="N59" s="41" t="s">
        <v>61</v>
      </c>
      <c r="O59" s="166"/>
      <c r="P59" s="141">
        <f>P60</f>
        <v>50862250</v>
      </c>
      <c r="Q59" s="164"/>
      <c r="R59" s="165">
        <f t="shared" si="4"/>
        <v>50862250</v>
      </c>
      <c r="S59" s="165">
        <f>S60</f>
        <v>36651250</v>
      </c>
      <c r="T59" s="165"/>
      <c r="U59" s="165">
        <f>U60</f>
        <v>38221700</v>
      </c>
      <c r="V59" s="165"/>
      <c r="W59" s="165">
        <f t="shared" si="2"/>
        <v>38221700</v>
      </c>
      <c r="X59" s="168">
        <f t="shared" si="3"/>
        <v>12640550</v>
      </c>
      <c r="Y59" s="168"/>
      <c r="Z59" s="168">
        <f t="shared" si="7"/>
        <v>-1570450</v>
      </c>
      <c r="AA59" s="198">
        <f t="shared" si="6"/>
        <v>0.75147481678455041</v>
      </c>
      <c r="AB59" s="3"/>
      <c r="AC59" s="3"/>
      <c r="AD59" s="3"/>
      <c r="AE59" s="3"/>
    </row>
    <row r="60" spans="1:31" ht="28.5" customHeight="1">
      <c r="A60" s="11">
        <v>7</v>
      </c>
      <c r="B60" s="104" t="s">
        <v>19</v>
      </c>
      <c r="C60" s="104" t="s">
        <v>19</v>
      </c>
      <c r="D60" s="12">
        <v>2</v>
      </c>
      <c r="E60" s="104" t="s">
        <v>34</v>
      </c>
      <c r="F60" s="104" t="s">
        <v>32</v>
      </c>
      <c r="G60" s="12">
        <v>5</v>
      </c>
      <c r="H60" s="12">
        <v>1</v>
      </c>
      <c r="I60" s="104" t="s">
        <v>22</v>
      </c>
      <c r="J60" s="12"/>
      <c r="K60" s="12"/>
      <c r="L60" s="12"/>
      <c r="M60" s="27"/>
      <c r="N60" s="42" t="s">
        <v>49</v>
      </c>
      <c r="O60" s="34"/>
      <c r="P60" s="38">
        <f>P61</f>
        <v>50862250</v>
      </c>
      <c r="Q60" s="53"/>
      <c r="R60" s="82">
        <f t="shared" si="4"/>
        <v>50862250</v>
      </c>
      <c r="S60" s="82">
        <f>'LRA SP2D'!R61</f>
        <v>36651250</v>
      </c>
      <c r="T60" s="82"/>
      <c r="U60" s="82">
        <f>U61</f>
        <v>38221700</v>
      </c>
      <c r="V60" s="82"/>
      <c r="W60" s="82">
        <f t="shared" si="2"/>
        <v>38221700</v>
      </c>
      <c r="X60" s="170">
        <f t="shared" si="3"/>
        <v>12640550</v>
      </c>
      <c r="Y60" s="170"/>
      <c r="Z60" s="170">
        <f t="shared" si="7"/>
        <v>-1570450</v>
      </c>
      <c r="AA60" s="196">
        <f t="shared" si="6"/>
        <v>0.75147481678455041</v>
      </c>
      <c r="AB60" s="3"/>
      <c r="AC60" s="3"/>
      <c r="AD60" s="3"/>
      <c r="AE60" s="3"/>
    </row>
    <row r="61" spans="1:31" ht="28.5" customHeight="1">
      <c r="A61" s="11">
        <v>7</v>
      </c>
      <c r="B61" s="104" t="s">
        <v>19</v>
      </c>
      <c r="C61" s="104" t="s">
        <v>19</v>
      </c>
      <c r="D61" s="12">
        <v>2</v>
      </c>
      <c r="E61" s="104" t="s">
        <v>34</v>
      </c>
      <c r="F61" s="104" t="s">
        <v>32</v>
      </c>
      <c r="G61" s="12">
        <v>5</v>
      </c>
      <c r="H61" s="12">
        <v>1</v>
      </c>
      <c r="I61" s="104" t="s">
        <v>22</v>
      </c>
      <c r="J61" s="104" t="s">
        <v>19</v>
      </c>
      <c r="K61" s="12"/>
      <c r="L61" s="12"/>
      <c r="M61" s="27"/>
      <c r="N61" s="42" t="s">
        <v>50</v>
      </c>
      <c r="O61" s="34"/>
      <c r="P61" s="38">
        <f>P62</f>
        <v>50862250</v>
      </c>
      <c r="Q61" s="53"/>
      <c r="R61" s="82">
        <f t="shared" si="4"/>
        <v>50862250</v>
      </c>
      <c r="S61" s="82">
        <f>'LRA SP2D'!R62</f>
        <v>36651250</v>
      </c>
      <c r="T61" s="82"/>
      <c r="U61" s="82">
        <f>U62</f>
        <v>38221700</v>
      </c>
      <c r="V61" s="82"/>
      <c r="W61" s="82">
        <f t="shared" si="2"/>
        <v>38221700</v>
      </c>
      <c r="X61" s="170">
        <f t="shared" si="3"/>
        <v>12640550</v>
      </c>
      <c r="Y61" s="170"/>
      <c r="Z61" s="170">
        <f t="shared" si="7"/>
        <v>-1570450</v>
      </c>
      <c r="AA61" s="196">
        <f t="shared" si="6"/>
        <v>0.75147481678455041</v>
      </c>
      <c r="AB61" s="3"/>
      <c r="AC61" s="3"/>
      <c r="AD61" s="3"/>
      <c r="AE61" s="3"/>
    </row>
    <row r="62" spans="1:31" ht="28.5" customHeight="1">
      <c r="A62" s="11">
        <v>7</v>
      </c>
      <c r="B62" s="104" t="s">
        <v>19</v>
      </c>
      <c r="C62" s="104" t="s">
        <v>19</v>
      </c>
      <c r="D62" s="12">
        <v>2</v>
      </c>
      <c r="E62" s="104" t="s">
        <v>34</v>
      </c>
      <c r="F62" s="104" t="s">
        <v>32</v>
      </c>
      <c r="G62" s="12">
        <v>5</v>
      </c>
      <c r="H62" s="12">
        <v>1</v>
      </c>
      <c r="I62" s="104" t="s">
        <v>22</v>
      </c>
      <c r="J62" s="104" t="s">
        <v>19</v>
      </c>
      <c r="K62" s="104" t="s">
        <v>19</v>
      </c>
      <c r="L62" s="12"/>
      <c r="M62" s="27"/>
      <c r="N62" s="42" t="s">
        <v>51</v>
      </c>
      <c r="O62" s="34"/>
      <c r="P62" s="38">
        <f>P63</f>
        <v>50862250</v>
      </c>
      <c r="Q62" s="53"/>
      <c r="R62" s="82">
        <f t="shared" si="4"/>
        <v>50862250</v>
      </c>
      <c r="S62" s="82">
        <f>'LRA SP2D'!R63</f>
        <v>36651250</v>
      </c>
      <c r="T62" s="82"/>
      <c r="U62" s="82">
        <f>U63</f>
        <v>38221700</v>
      </c>
      <c r="V62" s="82"/>
      <c r="W62" s="82">
        <f t="shared" si="2"/>
        <v>38221700</v>
      </c>
      <c r="X62" s="170">
        <f t="shared" si="3"/>
        <v>12640550</v>
      </c>
      <c r="Y62" s="170"/>
      <c r="Z62" s="170">
        <f t="shared" si="7"/>
        <v>-1570450</v>
      </c>
      <c r="AA62" s="196">
        <f t="shared" si="6"/>
        <v>0.75147481678455041</v>
      </c>
      <c r="AB62" s="3"/>
      <c r="AC62" s="3"/>
      <c r="AD62" s="3"/>
      <c r="AE62" s="3"/>
    </row>
    <row r="63" spans="1:31" ht="28.5" customHeight="1">
      <c r="A63" s="15">
        <v>7</v>
      </c>
      <c r="B63" s="105" t="s">
        <v>19</v>
      </c>
      <c r="C63" s="105" t="s">
        <v>19</v>
      </c>
      <c r="D63" s="16">
        <v>2</v>
      </c>
      <c r="E63" s="105" t="s">
        <v>34</v>
      </c>
      <c r="F63" s="105" t="s">
        <v>32</v>
      </c>
      <c r="G63" s="16">
        <v>5</v>
      </c>
      <c r="H63" s="16">
        <v>1</v>
      </c>
      <c r="I63" s="105" t="s">
        <v>22</v>
      </c>
      <c r="J63" s="105" t="s">
        <v>19</v>
      </c>
      <c r="K63" s="105" t="s">
        <v>19</v>
      </c>
      <c r="L63" s="105" t="s">
        <v>56</v>
      </c>
      <c r="M63" s="33">
        <v>6</v>
      </c>
      <c r="N63" s="34" t="s">
        <v>62</v>
      </c>
      <c r="O63" s="34"/>
      <c r="P63" s="35">
        <f>'LRA SP2D'!O64</f>
        <v>50862250</v>
      </c>
      <c r="Q63" s="34"/>
      <c r="R63" s="81">
        <f t="shared" si="4"/>
        <v>50862250</v>
      </c>
      <c r="S63" s="81">
        <f>'LRA SP2D'!R64</f>
        <v>36651250</v>
      </c>
      <c r="T63" s="81"/>
      <c r="U63" s="81">
        <f>'LRA SP2D'!U64</f>
        <v>38221700</v>
      </c>
      <c r="V63" s="81"/>
      <c r="W63" s="81">
        <f t="shared" si="2"/>
        <v>38221700</v>
      </c>
      <c r="X63" s="161">
        <f t="shared" si="3"/>
        <v>12640550</v>
      </c>
      <c r="Y63" s="161"/>
      <c r="Z63" s="161">
        <f t="shared" si="7"/>
        <v>-1570450</v>
      </c>
      <c r="AA63" s="199">
        <f t="shared" si="6"/>
        <v>0.75147481678455041</v>
      </c>
      <c r="AB63" s="3"/>
      <c r="AC63" s="3"/>
      <c r="AD63" s="3"/>
      <c r="AE63" s="3"/>
    </row>
    <row r="64" spans="1:31" ht="16.3">
      <c r="A64" s="4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51"/>
      <c r="N64" s="34"/>
      <c r="O64" s="34"/>
      <c r="P64" s="34"/>
      <c r="Q64" s="34"/>
      <c r="R64" s="81">
        <f t="shared" si="4"/>
        <v>0</v>
      </c>
      <c r="S64" s="34"/>
      <c r="T64" s="81"/>
      <c r="U64" s="81"/>
      <c r="V64" s="81"/>
      <c r="W64" s="81"/>
      <c r="X64" s="161"/>
      <c r="Y64" s="161"/>
      <c r="Z64" s="161"/>
      <c r="AA64" s="199"/>
      <c r="AB64" s="3"/>
      <c r="AC64" s="3"/>
      <c r="AD64" s="3"/>
      <c r="AE64" s="3"/>
    </row>
    <row r="65" spans="1:31" ht="30.75" customHeight="1">
      <c r="A65" s="13">
        <v>7</v>
      </c>
      <c r="B65" s="103" t="s">
        <v>19</v>
      </c>
      <c r="C65" s="103" t="s">
        <v>19</v>
      </c>
      <c r="D65" s="14">
        <v>2</v>
      </c>
      <c r="E65" s="103" t="s">
        <v>34</v>
      </c>
      <c r="F65" s="103" t="s">
        <v>40</v>
      </c>
      <c r="G65" s="14"/>
      <c r="H65" s="14"/>
      <c r="I65" s="14"/>
      <c r="J65" s="14"/>
      <c r="K65" s="14"/>
      <c r="L65" s="14"/>
      <c r="M65" s="30"/>
      <c r="N65" s="41" t="s">
        <v>63</v>
      </c>
      <c r="O65" s="164"/>
      <c r="P65" s="141">
        <f>P66</f>
        <v>252381500</v>
      </c>
      <c r="Q65" s="164"/>
      <c r="R65" s="165">
        <f t="shared" si="4"/>
        <v>252381500</v>
      </c>
      <c r="S65" s="168">
        <f>S66</f>
        <v>206778693</v>
      </c>
      <c r="T65" s="165"/>
      <c r="U65" s="141">
        <f>U66</f>
        <v>213118243</v>
      </c>
      <c r="V65" s="165"/>
      <c r="W65" s="165">
        <f t="shared" si="2"/>
        <v>213118243</v>
      </c>
      <c r="X65" s="168">
        <f t="shared" si="3"/>
        <v>39263257</v>
      </c>
      <c r="Y65" s="168"/>
      <c r="Z65" s="168">
        <f t="shared" si="7"/>
        <v>-6339550</v>
      </c>
      <c r="AA65" s="198">
        <f t="shared" si="6"/>
        <v>0.84442894189946571</v>
      </c>
      <c r="AB65" s="3"/>
      <c r="AC65" s="3"/>
      <c r="AD65" s="3"/>
      <c r="AE65" s="3"/>
    </row>
    <row r="66" spans="1:31" ht="28.5" customHeight="1">
      <c r="A66" s="49">
        <v>7</v>
      </c>
      <c r="B66" s="107" t="s">
        <v>19</v>
      </c>
      <c r="C66" s="107" t="s">
        <v>19</v>
      </c>
      <c r="D66" s="107" t="s">
        <v>64</v>
      </c>
      <c r="E66" s="107" t="s">
        <v>34</v>
      </c>
      <c r="F66" s="107" t="s">
        <v>40</v>
      </c>
      <c r="G66" s="12">
        <v>5</v>
      </c>
      <c r="H66" s="12">
        <v>1</v>
      </c>
      <c r="I66" s="104" t="s">
        <v>22</v>
      </c>
      <c r="J66" s="36"/>
      <c r="K66" s="36"/>
      <c r="L66" s="36"/>
      <c r="M66" s="51"/>
      <c r="N66" s="42" t="s">
        <v>49</v>
      </c>
      <c r="O66" s="53"/>
      <c r="P66" s="38">
        <f>P67+P70</f>
        <v>252381500</v>
      </c>
      <c r="Q66" s="53"/>
      <c r="R66" s="82">
        <f t="shared" si="4"/>
        <v>252381500</v>
      </c>
      <c r="S66" s="170">
        <f>S67+S70</f>
        <v>206778693</v>
      </c>
      <c r="T66" s="82"/>
      <c r="U66" s="38">
        <f>U67+U70</f>
        <v>213118243</v>
      </c>
      <c r="V66" s="82"/>
      <c r="W66" s="82">
        <f t="shared" si="2"/>
        <v>213118243</v>
      </c>
      <c r="X66" s="170">
        <f t="shared" si="3"/>
        <v>39263257</v>
      </c>
      <c r="Y66" s="170"/>
      <c r="Z66" s="170">
        <f t="shared" si="7"/>
        <v>-6339550</v>
      </c>
      <c r="AA66" s="196">
        <f t="shared" si="6"/>
        <v>0.84442894189946571</v>
      </c>
      <c r="AB66" s="3"/>
      <c r="AC66" s="3"/>
      <c r="AD66" s="3"/>
      <c r="AE66" s="3"/>
    </row>
    <row r="67" spans="1:31" ht="28.5" customHeight="1">
      <c r="A67" s="49">
        <v>7</v>
      </c>
      <c r="B67" s="107" t="s">
        <v>19</v>
      </c>
      <c r="C67" s="107" t="s">
        <v>19</v>
      </c>
      <c r="D67" s="107" t="s">
        <v>64</v>
      </c>
      <c r="E67" s="107" t="s">
        <v>34</v>
      </c>
      <c r="F67" s="107" t="s">
        <v>40</v>
      </c>
      <c r="G67" s="12">
        <v>5</v>
      </c>
      <c r="H67" s="12">
        <v>1</v>
      </c>
      <c r="I67" s="104" t="s">
        <v>22</v>
      </c>
      <c r="J67" s="107" t="s">
        <v>19</v>
      </c>
      <c r="K67" s="36"/>
      <c r="L67" s="36"/>
      <c r="M67" s="51"/>
      <c r="N67" s="42" t="s">
        <v>65</v>
      </c>
      <c r="O67" s="53"/>
      <c r="P67" s="38">
        <f>P68</f>
        <v>78355000</v>
      </c>
      <c r="Q67" s="53"/>
      <c r="R67" s="82">
        <f t="shared" si="4"/>
        <v>78355000</v>
      </c>
      <c r="S67" s="170">
        <f>S68</f>
        <v>63171100</v>
      </c>
      <c r="T67" s="82"/>
      <c r="U67" s="130">
        <f>U68</f>
        <v>67760650</v>
      </c>
      <c r="V67" s="130"/>
      <c r="W67" s="130">
        <f t="shared" si="2"/>
        <v>67760650</v>
      </c>
      <c r="X67" s="170">
        <f t="shared" si="3"/>
        <v>10594350</v>
      </c>
      <c r="Y67" s="170"/>
      <c r="Z67" s="170">
        <f t="shared" si="7"/>
        <v>-4589550</v>
      </c>
      <c r="AA67" s="196">
        <f t="shared" si="6"/>
        <v>0.86479037712973006</v>
      </c>
      <c r="AB67" s="3"/>
      <c r="AC67" s="3"/>
      <c r="AD67" s="3"/>
      <c r="AE67" s="3"/>
    </row>
    <row r="68" spans="1:31" ht="28.5" customHeight="1">
      <c r="A68" s="11">
        <v>7</v>
      </c>
      <c r="B68" s="104" t="s">
        <v>19</v>
      </c>
      <c r="C68" s="104" t="s">
        <v>19</v>
      </c>
      <c r="D68" s="12">
        <v>2</v>
      </c>
      <c r="E68" s="104" t="s">
        <v>34</v>
      </c>
      <c r="F68" s="104" t="s">
        <v>32</v>
      </c>
      <c r="G68" s="12">
        <v>5</v>
      </c>
      <c r="H68" s="12">
        <v>1</v>
      </c>
      <c r="I68" s="104" t="s">
        <v>22</v>
      </c>
      <c r="J68" s="104" t="s">
        <v>19</v>
      </c>
      <c r="K68" s="104" t="s">
        <v>19</v>
      </c>
      <c r="L68" s="36"/>
      <c r="M68" s="51"/>
      <c r="N68" s="42" t="s">
        <v>51</v>
      </c>
      <c r="O68" s="53"/>
      <c r="P68" s="38">
        <f>P69</f>
        <v>78355000</v>
      </c>
      <c r="Q68" s="53"/>
      <c r="R68" s="82">
        <f t="shared" si="4"/>
        <v>78355000</v>
      </c>
      <c r="S68" s="170">
        <f>S69</f>
        <v>63171100</v>
      </c>
      <c r="T68" s="82"/>
      <c r="U68" s="130">
        <f>U69</f>
        <v>67760650</v>
      </c>
      <c r="V68" s="130"/>
      <c r="W68" s="130">
        <f t="shared" si="2"/>
        <v>67760650</v>
      </c>
      <c r="X68" s="170">
        <f t="shared" si="3"/>
        <v>10594350</v>
      </c>
      <c r="Y68" s="170"/>
      <c r="Z68" s="170">
        <f t="shared" si="7"/>
        <v>-4589550</v>
      </c>
      <c r="AA68" s="196">
        <f t="shared" si="6"/>
        <v>0.86479037712973006</v>
      </c>
      <c r="AB68" s="3"/>
      <c r="AC68" s="3"/>
      <c r="AD68" s="3"/>
      <c r="AE68" s="3"/>
    </row>
    <row r="69" spans="1:31" ht="28.5" customHeight="1">
      <c r="A69" s="15">
        <v>7</v>
      </c>
      <c r="B69" s="105" t="s">
        <v>19</v>
      </c>
      <c r="C69" s="105" t="s">
        <v>19</v>
      </c>
      <c r="D69" s="16">
        <v>2</v>
      </c>
      <c r="E69" s="105" t="s">
        <v>34</v>
      </c>
      <c r="F69" s="105" t="s">
        <v>32</v>
      </c>
      <c r="G69" s="16">
        <v>5</v>
      </c>
      <c r="H69" s="16">
        <v>1</v>
      </c>
      <c r="I69" s="105" t="s">
        <v>22</v>
      </c>
      <c r="J69" s="105" t="s">
        <v>19</v>
      </c>
      <c r="K69" s="105" t="s">
        <v>19</v>
      </c>
      <c r="L69" s="105" t="s">
        <v>66</v>
      </c>
      <c r="M69" s="33">
        <v>2</v>
      </c>
      <c r="N69" s="34" t="s">
        <v>67</v>
      </c>
      <c r="O69" s="34"/>
      <c r="P69" s="35">
        <f>'LRA SP2D'!O70</f>
        <v>78355000</v>
      </c>
      <c r="Q69" s="34"/>
      <c r="R69" s="81">
        <f t="shared" si="4"/>
        <v>78355000</v>
      </c>
      <c r="S69" s="81">
        <f>'LRA SP2D'!R70</f>
        <v>63171100</v>
      </c>
      <c r="T69" s="81"/>
      <c r="U69" s="131">
        <f>'LRA SP2D'!U70</f>
        <v>67760650</v>
      </c>
      <c r="V69" s="131"/>
      <c r="W69" s="131">
        <f t="shared" si="2"/>
        <v>67760650</v>
      </c>
      <c r="X69" s="161">
        <f t="shared" si="3"/>
        <v>10594350</v>
      </c>
      <c r="Y69" s="161"/>
      <c r="Z69" s="161">
        <f t="shared" si="7"/>
        <v>-4589550</v>
      </c>
      <c r="AA69" s="199">
        <f t="shared" si="6"/>
        <v>0.86479037712973006</v>
      </c>
      <c r="AB69" s="3"/>
      <c r="AC69" s="3"/>
      <c r="AD69" s="3"/>
      <c r="AE69" s="3"/>
    </row>
    <row r="70" spans="1:31" ht="28.5" customHeight="1">
      <c r="A70" s="49">
        <v>7</v>
      </c>
      <c r="B70" s="107" t="s">
        <v>19</v>
      </c>
      <c r="C70" s="107" t="s">
        <v>19</v>
      </c>
      <c r="D70" s="107" t="s">
        <v>64</v>
      </c>
      <c r="E70" s="107" t="s">
        <v>34</v>
      </c>
      <c r="F70" s="107" t="s">
        <v>40</v>
      </c>
      <c r="G70" s="12">
        <v>5</v>
      </c>
      <c r="H70" s="12">
        <v>1</v>
      </c>
      <c r="I70" s="104" t="s">
        <v>22</v>
      </c>
      <c r="J70" s="107" t="s">
        <v>54</v>
      </c>
      <c r="K70" s="36"/>
      <c r="L70" s="36"/>
      <c r="M70" s="51"/>
      <c r="N70" s="42" t="s">
        <v>68</v>
      </c>
      <c r="O70" s="34"/>
      <c r="P70" s="38">
        <f>P71</f>
        <v>174026500</v>
      </c>
      <c r="Q70" s="53"/>
      <c r="R70" s="82">
        <f t="shared" si="4"/>
        <v>174026500</v>
      </c>
      <c r="S70" s="82">
        <f>'LRA SP2D'!R71</f>
        <v>143607593</v>
      </c>
      <c r="T70" s="82"/>
      <c r="U70" s="130">
        <f>'LRA SP2D'!U71</f>
        <v>145357593</v>
      </c>
      <c r="V70" s="82"/>
      <c r="W70" s="82">
        <f t="shared" si="2"/>
        <v>145357593</v>
      </c>
      <c r="X70" s="170">
        <f t="shared" si="3"/>
        <v>28668907</v>
      </c>
      <c r="Y70" s="170"/>
      <c r="Z70" s="170">
        <f t="shared" si="7"/>
        <v>-1750000</v>
      </c>
      <c r="AA70" s="196">
        <f t="shared" si="6"/>
        <v>0.83526125618799441</v>
      </c>
      <c r="AB70" s="3"/>
      <c r="AC70" s="3"/>
      <c r="AD70" s="3"/>
      <c r="AE70" s="3"/>
    </row>
    <row r="71" spans="1:31" ht="28.5" customHeight="1">
      <c r="A71" s="49">
        <v>7</v>
      </c>
      <c r="B71" s="107" t="s">
        <v>19</v>
      </c>
      <c r="C71" s="107" t="s">
        <v>19</v>
      </c>
      <c r="D71" s="107" t="s">
        <v>64</v>
      </c>
      <c r="E71" s="107" t="s">
        <v>34</v>
      </c>
      <c r="F71" s="107" t="s">
        <v>40</v>
      </c>
      <c r="G71" s="12">
        <v>5</v>
      </c>
      <c r="H71" s="12">
        <v>1</v>
      </c>
      <c r="I71" s="104" t="s">
        <v>22</v>
      </c>
      <c r="J71" s="107" t="s">
        <v>54</v>
      </c>
      <c r="K71" s="107" t="s">
        <v>19</v>
      </c>
      <c r="L71" s="50"/>
      <c r="M71" s="52"/>
      <c r="N71" s="53" t="s">
        <v>69</v>
      </c>
      <c r="O71" s="34"/>
      <c r="P71" s="38">
        <f>P72</f>
        <v>174026500</v>
      </c>
      <c r="Q71" s="53"/>
      <c r="R71" s="82">
        <f t="shared" si="4"/>
        <v>174026500</v>
      </c>
      <c r="S71" s="82">
        <f>'LRA SP2D'!R72</f>
        <v>143607593</v>
      </c>
      <c r="T71" s="82"/>
      <c r="U71" s="130">
        <f>'LRA SP2D'!U72</f>
        <v>145357593</v>
      </c>
      <c r="V71" s="82"/>
      <c r="W71" s="82">
        <f t="shared" si="2"/>
        <v>145357593</v>
      </c>
      <c r="X71" s="170">
        <f t="shared" si="3"/>
        <v>28668907</v>
      </c>
      <c r="Y71" s="170"/>
      <c r="Z71" s="170">
        <f t="shared" si="7"/>
        <v>-1750000</v>
      </c>
      <c r="AA71" s="196">
        <f t="shared" si="6"/>
        <v>0.83526125618799441</v>
      </c>
      <c r="AB71" s="3"/>
      <c r="AC71" s="3"/>
      <c r="AD71" s="3"/>
      <c r="AE71" s="3"/>
    </row>
    <row r="72" spans="1:31" ht="28.5" customHeight="1">
      <c r="A72" s="48">
        <v>7</v>
      </c>
      <c r="B72" s="106" t="s">
        <v>19</v>
      </c>
      <c r="C72" s="106" t="s">
        <v>19</v>
      </c>
      <c r="D72" s="106" t="s">
        <v>64</v>
      </c>
      <c r="E72" s="106" t="s">
        <v>34</v>
      </c>
      <c r="F72" s="106" t="s">
        <v>40</v>
      </c>
      <c r="G72" s="16">
        <v>5</v>
      </c>
      <c r="H72" s="16">
        <v>1</v>
      </c>
      <c r="I72" s="105" t="s">
        <v>22</v>
      </c>
      <c r="J72" s="106" t="s">
        <v>54</v>
      </c>
      <c r="K72" s="106" t="s">
        <v>19</v>
      </c>
      <c r="L72" s="106" t="s">
        <v>27</v>
      </c>
      <c r="M72" s="51">
        <v>1</v>
      </c>
      <c r="N72" s="34" t="s">
        <v>70</v>
      </c>
      <c r="O72" s="34"/>
      <c r="P72" s="35">
        <f>'LRA SP2D'!O73</f>
        <v>174026500</v>
      </c>
      <c r="Q72" s="34"/>
      <c r="R72" s="81">
        <f t="shared" si="4"/>
        <v>174026500</v>
      </c>
      <c r="S72" s="81">
        <f>'LRA SP2D'!R73</f>
        <v>143607593</v>
      </c>
      <c r="T72" s="81"/>
      <c r="U72" s="131">
        <f>'LRA SP2D'!U73</f>
        <v>145357593</v>
      </c>
      <c r="V72" s="81"/>
      <c r="W72" s="81">
        <f t="shared" si="2"/>
        <v>145357593</v>
      </c>
      <c r="X72" s="161">
        <f t="shared" si="3"/>
        <v>28668907</v>
      </c>
      <c r="Y72" s="161"/>
      <c r="Z72" s="161">
        <f t="shared" si="7"/>
        <v>-1750000</v>
      </c>
      <c r="AA72" s="199">
        <f t="shared" si="6"/>
        <v>0.83526125618799441</v>
      </c>
      <c r="AB72" s="3"/>
      <c r="AC72" s="3"/>
      <c r="AD72" s="3"/>
      <c r="AE72" s="3"/>
    </row>
    <row r="73" spans="1:31" ht="16.3">
      <c r="A73" s="4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51"/>
      <c r="N73" s="34"/>
      <c r="O73" s="34"/>
      <c r="P73" s="34"/>
      <c r="Q73" s="34"/>
      <c r="R73" s="81">
        <f t="shared" si="4"/>
        <v>0</v>
      </c>
      <c r="S73" s="34"/>
      <c r="T73" s="81"/>
      <c r="U73" s="81"/>
      <c r="V73" s="81"/>
      <c r="W73" s="81"/>
      <c r="X73" s="161"/>
      <c r="Y73" s="161"/>
      <c r="Z73" s="161"/>
      <c r="AA73" s="199"/>
      <c r="AB73" s="3"/>
      <c r="AC73" s="3"/>
      <c r="AD73" s="3"/>
      <c r="AE73" s="3"/>
    </row>
    <row r="74" spans="1:31" ht="58.5" customHeight="1">
      <c r="A74" s="279">
        <v>7</v>
      </c>
      <c r="B74" s="280" t="s">
        <v>19</v>
      </c>
      <c r="C74" s="280" t="s">
        <v>19</v>
      </c>
      <c r="D74" s="281">
        <v>2</v>
      </c>
      <c r="E74" s="280" t="s">
        <v>36</v>
      </c>
      <c r="F74" s="281"/>
      <c r="G74" s="281"/>
      <c r="H74" s="281"/>
      <c r="I74" s="281"/>
      <c r="J74" s="281"/>
      <c r="K74" s="281"/>
      <c r="L74" s="281"/>
      <c r="M74" s="282"/>
      <c r="N74" s="283" t="s">
        <v>244</v>
      </c>
      <c r="O74" s="26">
        <f>O76</f>
        <v>680000</v>
      </c>
      <c r="P74" s="26">
        <f t="shared" ref="P74:R74" si="8">P76</f>
        <v>0</v>
      </c>
      <c r="Q74" s="26">
        <f t="shared" si="8"/>
        <v>67320000</v>
      </c>
      <c r="R74" s="26">
        <f t="shared" si="8"/>
        <v>68000000</v>
      </c>
      <c r="S74" s="26">
        <f>S76</f>
        <v>68000000</v>
      </c>
      <c r="T74" s="163">
        <f>T76</f>
        <v>680000</v>
      </c>
      <c r="U74" s="163">
        <f t="shared" ref="U74:V74" si="9">U76</f>
        <v>0</v>
      </c>
      <c r="V74" s="163">
        <f t="shared" si="9"/>
        <v>67320000</v>
      </c>
      <c r="W74" s="163">
        <f>SUM(T74:V74)</f>
        <v>68000000</v>
      </c>
      <c r="X74" s="95">
        <f t="shared" ref="X74" si="10">R74-W74</f>
        <v>0</v>
      </c>
      <c r="Y74" s="95"/>
      <c r="Z74" s="95">
        <f t="shared" ref="Z74" si="11">S74-W74</f>
        <v>0</v>
      </c>
      <c r="AA74" s="197">
        <f t="shared" ref="AA74" si="12">W74/R74*100%</f>
        <v>1</v>
      </c>
      <c r="AB74" s="3"/>
      <c r="AC74" s="3"/>
      <c r="AD74" s="3"/>
      <c r="AE74" s="3"/>
    </row>
    <row r="75" spans="1:31" ht="18" customHeight="1">
      <c r="A75" s="288"/>
      <c r="B75" s="302"/>
      <c r="C75" s="302"/>
      <c r="D75" s="289"/>
      <c r="E75" s="302"/>
      <c r="F75" s="289"/>
      <c r="G75" s="289"/>
      <c r="H75" s="289"/>
      <c r="I75" s="289"/>
      <c r="J75" s="289"/>
      <c r="K75" s="289"/>
      <c r="L75" s="289"/>
      <c r="M75" s="290"/>
      <c r="N75" s="322"/>
      <c r="O75" s="35"/>
      <c r="P75" s="34"/>
      <c r="Q75" s="34"/>
      <c r="R75" s="81"/>
      <c r="S75" s="34"/>
      <c r="T75" s="81"/>
      <c r="U75" s="81"/>
      <c r="V75" s="81"/>
      <c r="W75" s="81"/>
      <c r="X75" s="161"/>
      <c r="Y75" s="161"/>
      <c r="Z75" s="161"/>
      <c r="AA75" s="199"/>
      <c r="AB75" s="3"/>
      <c r="AC75" s="3"/>
      <c r="AD75" s="3"/>
      <c r="AE75" s="3"/>
    </row>
    <row r="76" spans="1:31" ht="37.5" customHeight="1">
      <c r="A76" s="332">
        <v>7</v>
      </c>
      <c r="B76" s="333" t="s">
        <v>19</v>
      </c>
      <c r="C76" s="333" t="s">
        <v>19</v>
      </c>
      <c r="D76" s="333" t="s">
        <v>64</v>
      </c>
      <c r="E76" s="333" t="s">
        <v>36</v>
      </c>
      <c r="F76" s="333" t="s">
        <v>34</v>
      </c>
      <c r="G76" s="334"/>
      <c r="H76" s="334"/>
      <c r="I76" s="333"/>
      <c r="J76" s="335"/>
      <c r="K76" s="335"/>
      <c r="L76" s="335"/>
      <c r="M76" s="336"/>
      <c r="N76" s="337" t="s">
        <v>248</v>
      </c>
      <c r="O76" s="485">
        <f>O77+O81</f>
        <v>680000</v>
      </c>
      <c r="P76" s="485">
        <f t="shared" ref="P76:Q76" si="13">P77+P81</f>
        <v>0</v>
      </c>
      <c r="Q76" s="485">
        <f t="shared" si="13"/>
        <v>67320000</v>
      </c>
      <c r="R76" s="165">
        <f>R77+R81</f>
        <v>68000000</v>
      </c>
      <c r="S76" s="141">
        <f>S77+S81</f>
        <v>68000000</v>
      </c>
      <c r="T76" s="165">
        <f>T77</f>
        <v>680000</v>
      </c>
      <c r="U76" s="165"/>
      <c r="V76" s="165">
        <f>V81</f>
        <v>67320000</v>
      </c>
      <c r="W76" s="165">
        <f>SUM(T76:V76)</f>
        <v>68000000</v>
      </c>
      <c r="X76" s="168">
        <f t="shared" ref="X76:X85" si="14">R76-W76</f>
        <v>0</v>
      </c>
      <c r="Y76" s="168"/>
      <c r="Z76" s="168">
        <f t="shared" ref="Z76:Z85" si="15">S76-W76</f>
        <v>0</v>
      </c>
      <c r="AA76" s="198">
        <f t="shared" ref="AA76:AA85" si="16">W76/R76*100%</f>
        <v>1</v>
      </c>
      <c r="AB76" s="3"/>
      <c r="AC76" s="3"/>
      <c r="AD76" s="3"/>
      <c r="AE76" s="3"/>
    </row>
    <row r="77" spans="1:31" ht="37.5" customHeight="1">
      <c r="A77" s="327">
        <v>7</v>
      </c>
      <c r="B77" s="328" t="s">
        <v>19</v>
      </c>
      <c r="C77" s="328" t="s">
        <v>19</v>
      </c>
      <c r="D77" s="328" t="s">
        <v>64</v>
      </c>
      <c r="E77" s="328" t="s">
        <v>36</v>
      </c>
      <c r="F77" s="328" t="s">
        <v>34</v>
      </c>
      <c r="G77" s="289">
        <v>5</v>
      </c>
      <c r="H77" s="289">
        <v>1</v>
      </c>
      <c r="I77" s="302"/>
      <c r="J77" s="315"/>
      <c r="K77" s="315"/>
      <c r="L77" s="315"/>
      <c r="M77" s="326"/>
      <c r="N77" s="322" t="s">
        <v>25</v>
      </c>
      <c r="O77" s="38">
        <f t="shared" ref="O77:P78" si="17">O78</f>
        <v>680000</v>
      </c>
      <c r="P77" s="38">
        <f t="shared" si="17"/>
        <v>0</v>
      </c>
      <c r="Q77" s="53"/>
      <c r="R77" s="82">
        <f t="shared" ref="R77:S79" si="18">R78</f>
        <v>680000</v>
      </c>
      <c r="S77" s="170">
        <f t="shared" si="18"/>
        <v>680000</v>
      </c>
      <c r="T77" s="82">
        <f>T78</f>
        <v>680000</v>
      </c>
      <c r="U77" s="82"/>
      <c r="V77" s="82"/>
      <c r="W77" s="82">
        <f>W78</f>
        <v>680000</v>
      </c>
      <c r="X77" s="170">
        <f t="shared" si="14"/>
        <v>0</v>
      </c>
      <c r="Y77" s="170"/>
      <c r="Z77" s="170">
        <f t="shared" si="15"/>
        <v>0</v>
      </c>
      <c r="AA77" s="196">
        <f t="shared" si="16"/>
        <v>1</v>
      </c>
      <c r="AB77" s="3"/>
      <c r="AC77" s="3"/>
      <c r="AD77" s="3"/>
      <c r="AE77" s="3"/>
    </row>
    <row r="78" spans="1:31" ht="37.5" customHeight="1">
      <c r="A78" s="327">
        <v>7</v>
      </c>
      <c r="B78" s="328" t="s">
        <v>19</v>
      </c>
      <c r="C78" s="328" t="s">
        <v>19</v>
      </c>
      <c r="D78" s="328" t="s">
        <v>64</v>
      </c>
      <c r="E78" s="328" t="s">
        <v>36</v>
      </c>
      <c r="F78" s="328" t="s">
        <v>34</v>
      </c>
      <c r="G78" s="289">
        <v>5</v>
      </c>
      <c r="H78" s="289">
        <v>1</v>
      </c>
      <c r="I78" s="302" t="s">
        <v>19</v>
      </c>
      <c r="J78" s="328" t="s">
        <v>30</v>
      </c>
      <c r="K78" s="315"/>
      <c r="L78" s="315"/>
      <c r="M78" s="326"/>
      <c r="N78" s="316" t="s">
        <v>245</v>
      </c>
      <c r="O78" s="38">
        <f t="shared" si="17"/>
        <v>680000</v>
      </c>
      <c r="P78" s="38">
        <f t="shared" si="17"/>
        <v>0</v>
      </c>
      <c r="Q78" s="53"/>
      <c r="R78" s="82">
        <f t="shared" si="18"/>
        <v>680000</v>
      </c>
      <c r="S78" s="170">
        <f t="shared" si="18"/>
        <v>680000</v>
      </c>
      <c r="T78" s="82">
        <f>T79</f>
        <v>680000</v>
      </c>
      <c r="U78" s="82"/>
      <c r="V78" s="82"/>
      <c r="W78" s="82">
        <f>W79</f>
        <v>680000</v>
      </c>
      <c r="X78" s="170">
        <f t="shared" si="14"/>
        <v>0</v>
      </c>
      <c r="Y78" s="170"/>
      <c r="Z78" s="170">
        <f t="shared" si="15"/>
        <v>0</v>
      </c>
      <c r="AA78" s="196">
        <f t="shared" si="16"/>
        <v>1</v>
      </c>
      <c r="AB78" s="3"/>
      <c r="AC78" s="3"/>
      <c r="AD78" s="3"/>
      <c r="AE78" s="3"/>
    </row>
    <row r="79" spans="1:31" ht="37.5" customHeight="1">
      <c r="A79" s="327">
        <v>7</v>
      </c>
      <c r="B79" s="328" t="s">
        <v>19</v>
      </c>
      <c r="C79" s="328" t="s">
        <v>19</v>
      </c>
      <c r="D79" s="328" t="s">
        <v>64</v>
      </c>
      <c r="E79" s="328" t="s">
        <v>36</v>
      </c>
      <c r="F79" s="328" t="s">
        <v>34</v>
      </c>
      <c r="G79" s="289">
        <v>5</v>
      </c>
      <c r="H79" s="289">
        <v>1</v>
      </c>
      <c r="I79" s="302" t="s">
        <v>19</v>
      </c>
      <c r="J79" s="328" t="s">
        <v>30</v>
      </c>
      <c r="K79" s="328" t="s">
        <v>36</v>
      </c>
      <c r="L79" s="315"/>
      <c r="M79" s="326"/>
      <c r="N79" s="316" t="s">
        <v>246</v>
      </c>
      <c r="O79" s="38">
        <f>O80</f>
        <v>680000</v>
      </c>
      <c r="P79" s="35"/>
      <c r="Q79" s="34"/>
      <c r="R79" s="81">
        <f t="shared" si="18"/>
        <v>680000</v>
      </c>
      <c r="S79" s="161">
        <f t="shared" si="18"/>
        <v>680000</v>
      </c>
      <c r="T79" s="81">
        <f>S79</f>
        <v>680000</v>
      </c>
      <c r="U79" s="81"/>
      <c r="V79" s="81"/>
      <c r="W79" s="81">
        <f>W80</f>
        <v>680000</v>
      </c>
      <c r="X79" s="161">
        <f t="shared" si="14"/>
        <v>0</v>
      </c>
      <c r="Y79" s="161"/>
      <c r="Z79" s="161">
        <f t="shared" si="15"/>
        <v>0</v>
      </c>
      <c r="AA79" s="199">
        <f t="shared" si="16"/>
        <v>1</v>
      </c>
      <c r="AB79" s="3"/>
      <c r="AC79" s="3"/>
      <c r="AD79" s="3"/>
      <c r="AE79" s="3"/>
    </row>
    <row r="80" spans="1:31" ht="44.25" customHeight="1">
      <c r="A80" s="325">
        <v>7</v>
      </c>
      <c r="B80" s="314" t="s">
        <v>19</v>
      </c>
      <c r="C80" s="314" t="s">
        <v>19</v>
      </c>
      <c r="D80" s="314" t="s">
        <v>64</v>
      </c>
      <c r="E80" s="314" t="s">
        <v>36</v>
      </c>
      <c r="F80" s="314" t="s">
        <v>34</v>
      </c>
      <c r="G80" s="307">
        <v>5</v>
      </c>
      <c r="H80" s="307">
        <v>1</v>
      </c>
      <c r="I80" s="306" t="s">
        <v>19</v>
      </c>
      <c r="J80" s="314" t="s">
        <v>30</v>
      </c>
      <c r="K80" s="314" t="s">
        <v>36</v>
      </c>
      <c r="L80" s="314" t="s">
        <v>27</v>
      </c>
      <c r="M80" s="326">
        <v>2</v>
      </c>
      <c r="N80" s="309" t="s">
        <v>247</v>
      </c>
      <c r="O80" s="35">
        <f>'LRA SP2D'!O81</f>
        <v>680000</v>
      </c>
      <c r="P80" s="34"/>
      <c r="Q80" s="34"/>
      <c r="R80" s="81">
        <f>SUM(O80:Q80)</f>
        <v>680000</v>
      </c>
      <c r="S80" s="161">
        <f>T80</f>
        <v>680000</v>
      </c>
      <c r="T80" s="81">
        <f>'LRA SP2D'!U81</f>
        <v>680000</v>
      </c>
      <c r="U80" s="81"/>
      <c r="V80" s="81"/>
      <c r="W80" s="81">
        <f t="shared" ref="W80:W85" si="19">SUM(T80:V80)</f>
        <v>680000</v>
      </c>
      <c r="X80" s="161">
        <f>R80-W80</f>
        <v>0</v>
      </c>
      <c r="Y80" s="161"/>
      <c r="Z80" s="161">
        <f t="shared" si="15"/>
        <v>0</v>
      </c>
      <c r="AA80" s="199">
        <f t="shared" si="16"/>
        <v>1</v>
      </c>
      <c r="AB80" s="3"/>
      <c r="AC80" s="3"/>
      <c r="AD80" s="3"/>
      <c r="AE80" s="3"/>
    </row>
    <row r="81" spans="1:31" ht="44.25" customHeight="1">
      <c r="A81" s="327">
        <v>7</v>
      </c>
      <c r="B81" s="328" t="s">
        <v>19</v>
      </c>
      <c r="C81" s="328" t="s">
        <v>19</v>
      </c>
      <c r="D81" s="328" t="s">
        <v>64</v>
      </c>
      <c r="E81" s="328" t="s">
        <v>36</v>
      </c>
      <c r="F81" s="328" t="s">
        <v>34</v>
      </c>
      <c r="G81" s="289">
        <v>5</v>
      </c>
      <c r="H81" s="289">
        <v>2</v>
      </c>
      <c r="I81" s="302"/>
      <c r="J81" s="315"/>
      <c r="K81" s="315"/>
      <c r="L81" s="315"/>
      <c r="M81" s="326"/>
      <c r="N81" s="322" t="s">
        <v>249</v>
      </c>
      <c r="O81" s="38"/>
      <c r="P81" s="34"/>
      <c r="Q81" s="38">
        <f t="shared" ref="Q81:R84" si="20">Q82</f>
        <v>67320000</v>
      </c>
      <c r="R81" s="82">
        <f t="shared" si="20"/>
        <v>67320000</v>
      </c>
      <c r="S81" s="38">
        <f>S82</f>
        <v>67320000</v>
      </c>
      <c r="T81" s="82"/>
      <c r="U81" s="82"/>
      <c r="V81" s="82">
        <f>V82</f>
        <v>67320000</v>
      </c>
      <c r="W81" s="82">
        <f t="shared" si="19"/>
        <v>67320000</v>
      </c>
      <c r="X81" s="170">
        <f t="shared" si="14"/>
        <v>0</v>
      </c>
      <c r="Y81" s="170"/>
      <c r="Z81" s="170">
        <f t="shared" si="15"/>
        <v>0</v>
      </c>
      <c r="AA81" s="196">
        <f t="shared" si="16"/>
        <v>1</v>
      </c>
      <c r="AB81" s="3"/>
      <c r="AC81" s="3"/>
      <c r="AD81" s="3"/>
      <c r="AE81" s="3"/>
    </row>
    <row r="82" spans="1:31" ht="44.25" customHeight="1">
      <c r="A82" s="327">
        <v>7</v>
      </c>
      <c r="B82" s="328" t="s">
        <v>19</v>
      </c>
      <c r="C82" s="328" t="s">
        <v>19</v>
      </c>
      <c r="D82" s="328" t="s">
        <v>64</v>
      </c>
      <c r="E82" s="328" t="s">
        <v>36</v>
      </c>
      <c r="F82" s="328" t="s">
        <v>34</v>
      </c>
      <c r="G82" s="289">
        <v>5</v>
      </c>
      <c r="H82" s="289">
        <v>2</v>
      </c>
      <c r="I82" s="302" t="s">
        <v>22</v>
      </c>
      <c r="J82" s="315"/>
      <c r="K82" s="315"/>
      <c r="L82" s="315"/>
      <c r="M82" s="326"/>
      <c r="N82" s="323" t="s">
        <v>250</v>
      </c>
      <c r="O82" s="38"/>
      <c r="P82" s="34"/>
      <c r="Q82" s="38">
        <f t="shared" si="20"/>
        <v>67320000</v>
      </c>
      <c r="R82" s="82">
        <f t="shared" si="20"/>
        <v>67320000</v>
      </c>
      <c r="S82" s="38">
        <f>S83</f>
        <v>67320000</v>
      </c>
      <c r="T82" s="82"/>
      <c r="U82" s="82"/>
      <c r="V82" s="82">
        <f>V83</f>
        <v>67320000</v>
      </c>
      <c r="W82" s="82">
        <f t="shared" si="19"/>
        <v>67320000</v>
      </c>
      <c r="X82" s="170">
        <f t="shared" si="14"/>
        <v>0</v>
      </c>
      <c r="Y82" s="170"/>
      <c r="Z82" s="170">
        <f t="shared" si="15"/>
        <v>0</v>
      </c>
      <c r="AA82" s="196">
        <f t="shared" si="16"/>
        <v>1</v>
      </c>
      <c r="AB82" s="3"/>
      <c r="AC82" s="3"/>
      <c r="AD82" s="3"/>
      <c r="AE82" s="3"/>
    </row>
    <row r="83" spans="1:31" ht="44.25" customHeight="1">
      <c r="A83" s="327">
        <v>7</v>
      </c>
      <c r="B83" s="328" t="s">
        <v>19</v>
      </c>
      <c r="C83" s="328" t="s">
        <v>19</v>
      </c>
      <c r="D83" s="328" t="s">
        <v>64</v>
      </c>
      <c r="E83" s="328" t="s">
        <v>36</v>
      </c>
      <c r="F83" s="328" t="s">
        <v>34</v>
      </c>
      <c r="G83" s="289">
        <v>5</v>
      </c>
      <c r="H83" s="289">
        <v>2</v>
      </c>
      <c r="I83" s="302" t="s">
        <v>22</v>
      </c>
      <c r="J83" s="328" t="s">
        <v>167</v>
      </c>
      <c r="K83" s="315"/>
      <c r="L83" s="315"/>
      <c r="M83" s="326"/>
      <c r="N83" s="323" t="s">
        <v>251</v>
      </c>
      <c r="O83" s="38"/>
      <c r="P83" s="34"/>
      <c r="Q83" s="38">
        <f t="shared" si="20"/>
        <v>67320000</v>
      </c>
      <c r="R83" s="82">
        <f t="shared" si="20"/>
        <v>67320000</v>
      </c>
      <c r="S83" s="38">
        <f>S84</f>
        <v>67320000</v>
      </c>
      <c r="T83" s="82"/>
      <c r="U83" s="82"/>
      <c r="V83" s="82">
        <f>V84</f>
        <v>67320000</v>
      </c>
      <c r="W83" s="82">
        <f t="shared" si="19"/>
        <v>67320000</v>
      </c>
      <c r="X83" s="170">
        <f t="shared" si="14"/>
        <v>0</v>
      </c>
      <c r="Y83" s="170"/>
      <c r="Z83" s="170">
        <f t="shared" si="15"/>
        <v>0</v>
      </c>
      <c r="AA83" s="196">
        <f t="shared" si="16"/>
        <v>1</v>
      </c>
      <c r="AB83" s="3"/>
      <c r="AC83" s="3"/>
      <c r="AD83" s="3"/>
      <c r="AE83" s="3"/>
    </row>
    <row r="84" spans="1:31" ht="44.25" customHeight="1">
      <c r="A84" s="327">
        <v>7</v>
      </c>
      <c r="B84" s="328" t="s">
        <v>19</v>
      </c>
      <c r="C84" s="328" t="s">
        <v>19</v>
      </c>
      <c r="D84" s="328" t="s">
        <v>64</v>
      </c>
      <c r="E84" s="328" t="s">
        <v>36</v>
      </c>
      <c r="F84" s="328" t="s">
        <v>34</v>
      </c>
      <c r="G84" s="289">
        <v>5</v>
      </c>
      <c r="H84" s="289">
        <v>2</v>
      </c>
      <c r="I84" s="302" t="s">
        <v>22</v>
      </c>
      <c r="J84" s="328" t="s">
        <v>167</v>
      </c>
      <c r="K84" s="328" t="s">
        <v>19</v>
      </c>
      <c r="L84" s="314"/>
      <c r="M84" s="326"/>
      <c r="N84" s="323" t="s">
        <v>252</v>
      </c>
      <c r="O84" s="38"/>
      <c r="P84" s="34"/>
      <c r="Q84" s="38">
        <f t="shared" si="20"/>
        <v>67320000</v>
      </c>
      <c r="R84" s="82">
        <f t="shared" si="20"/>
        <v>67320000</v>
      </c>
      <c r="S84" s="38">
        <f>S85</f>
        <v>67320000</v>
      </c>
      <c r="T84" s="82"/>
      <c r="U84" s="82"/>
      <c r="V84" s="82">
        <f>V85</f>
        <v>67320000</v>
      </c>
      <c r="W84" s="82">
        <f t="shared" si="19"/>
        <v>67320000</v>
      </c>
      <c r="X84" s="170">
        <f t="shared" si="14"/>
        <v>0</v>
      </c>
      <c r="Y84" s="170"/>
      <c r="Z84" s="170">
        <f t="shared" si="15"/>
        <v>0</v>
      </c>
      <c r="AA84" s="196">
        <f t="shared" si="16"/>
        <v>1</v>
      </c>
      <c r="AB84" s="3"/>
      <c r="AC84" s="3"/>
      <c r="AD84" s="3"/>
      <c r="AE84" s="3"/>
    </row>
    <row r="85" spans="1:31" ht="44.25" customHeight="1">
      <c r="A85" s="325">
        <v>7</v>
      </c>
      <c r="B85" s="314" t="s">
        <v>19</v>
      </c>
      <c r="C85" s="314" t="s">
        <v>19</v>
      </c>
      <c r="D85" s="314" t="s">
        <v>64</v>
      </c>
      <c r="E85" s="314" t="s">
        <v>36</v>
      </c>
      <c r="F85" s="314" t="s">
        <v>34</v>
      </c>
      <c r="G85" s="307">
        <v>5</v>
      </c>
      <c r="H85" s="307">
        <v>2</v>
      </c>
      <c r="I85" s="306" t="s">
        <v>22</v>
      </c>
      <c r="J85" s="314" t="s">
        <v>167</v>
      </c>
      <c r="K85" s="314" t="s">
        <v>19</v>
      </c>
      <c r="L85" s="314" t="s">
        <v>27</v>
      </c>
      <c r="M85" s="326">
        <v>2</v>
      </c>
      <c r="N85" s="309" t="s">
        <v>253</v>
      </c>
      <c r="O85" s="35"/>
      <c r="P85" s="34"/>
      <c r="Q85" s="35">
        <f>'LRA SP2D'!O86</f>
        <v>67320000</v>
      </c>
      <c r="R85" s="81">
        <f>SUM(O85:Q85)</f>
        <v>67320000</v>
      </c>
      <c r="S85" s="35">
        <f>'LRA SP2D'!R86</f>
        <v>67320000</v>
      </c>
      <c r="T85" s="81"/>
      <c r="U85" s="81"/>
      <c r="V85" s="81">
        <f>'LRA SP2D'!U86</f>
        <v>67320000</v>
      </c>
      <c r="W85" s="81">
        <f t="shared" si="19"/>
        <v>67320000</v>
      </c>
      <c r="X85" s="161">
        <f t="shared" si="14"/>
        <v>0</v>
      </c>
      <c r="Y85" s="161"/>
      <c r="Z85" s="161">
        <f t="shared" si="15"/>
        <v>0</v>
      </c>
      <c r="AA85" s="199">
        <f t="shared" si="16"/>
        <v>1</v>
      </c>
      <c r="AB85" s="3"/>
      <c r="AC85" s="3"/>
      <c r="AD85" s="3"/>
      <c r="AE85" s="3"/>
    </row>
    <row r="86" spans="1:31" ht="16.3">
      <c r="A86" s="4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51"/>
      <c r="N86" s="34"/>
      <c r="O86" s="34"/>
      <c r="P86" s="34"/>
      <c r="Q86" s="34"/>
      <c r="R86" s="81"/>
      <c r="S86" s="34"/>
      <c r="T86" s="81"/>
      <c r="U86" s="81"/>
      <c r="V86" s="81"/>
      <c r="W86" s="81"/>
      <c r="X86" s="161"/>
      <c r="Y86" s="161"/>
      <c r="Z86" s="161"/>
      <c r="AA86" s="199"/>
      <c r="AB86" s="3"/>
      <c r="AC86" s="3"/>
      <c r="AD86" s="3"/>
      <c r="AE86" s="3"/>
    </row>
    <row r="87" spans="1:31" ht="43.5" customHeight="1">
      <c r="A87" s="9">
        <v>7</v>
      </c>
      <c r="B87" s="102" t="s">
        <v>19</v>
      </c>
      <c r="C87" s="102" t="s">
        <v>19</v>
      </c>
      <c r="D87" s="10">
        <v>2</v>
      </c>
      <c r="E87" s="102" t="s">
        <v>38</v>
      </c>
      <c r="F87" s="10"/>
      <c r="G87" s="10"/>
      <c r="H87" s="10"/>
      <c r="I87" s="10"/>
      <c r="J87" s="10"/>
      <c r="K87" s="10"/>
      <c r="L87" s="10"/>
      <c r="M87" s="24"/>
      <c r="N87" s="25" t="s">
        <v>71</v>
      </c>
      <c r="O87" s="163">
        <f>O89+O95+O103</f>
        <v>0</v>
      </c>
      <c r="P87" s="163">
        <f>P89+P95+P103</f>
        <v>1144355033</v>
      </c>
      <c r="Q87" s="163">
        <f>Q89+Q95+Q103</f>
        <v>0</v>
      </c>
      <c r="R87" s="163">
        <f>R89+R95+R103</f>
        <v>1144355033</v>
      </c>
      <c r="S87" s="163">
        <f>S89+S95+S103</f>
        <v>987002145</v>
      </c>
      <c r="T87" s="163"/>
      <c r="U87" s="163">
        <f>U89+U95+U103</f>
        <v>1069081971</v>
      </c>
      <c r="V87" s="163"/>
      <c r="W87" s="163">
        <f t="shared" si="2"/>
        <v>1069081971</v>
      </c>
      <c r="X87" s="95">
        <f t="shared" si="3"/>
        <v>75273062</v>
      </c>
      <c r="Y87" s="95"/>
      <c r="Z87" s="95">
        <f t="shared" si="7"/>
        <v>-82079826</v>
      </c>
      <c r="AA87" s="197">
        <f t="shared" si="6"/>
        <v>0.93422228257023798</v>
      </c>
      <c r="AB87" s="3"/>
      <c r="AC87" s="3"/>
      <c r="AD87" s="3"/>
      <c r="AE87" s="3"/>
    </row>
    <row r="88" spans="1:31" ht="16.3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27"/>
      <c r="N88" s="42"/>
      <c r="O88" s="34"/>
      <c r="P88" s="34"/>
      <c r="Q88" s="34"/>
      <c r="R88" s="81">
        <f t="shared" si="4"/>
        <v>0</v>
      </c>
      <c r="S88" s="53"/>
      <c r="T88" s="82"/>
      <c r="U88" s="82"/>
      <c r="V88" s="82"/>
      <c r="W88" s="82"/>
      <c r="X88" s="170"/>
      <c r="Y88" s="170"/>
      <c r="Z88" s="170"/>
      <c r="AA88" s="196"/>
      <c r="AB88" s="3"/>
      <c r="AC88" s="3"/>
      <c r="AD88" s="3"/>
      <c r="AE88" s="3"/>
    </row>
    <row r="89" spans="1:31" ht="25.5" customHeight="1">
      <c r="A89" s="13">
        <v>7</v>
      </c>
      <c r="B89" s="103" t="s">
        <v>19</v>
      </c>
      <c r="C89" s="103" t="s">
        <v>19</v>
      </c>
      <c r="D89" s="14">
        <v>2</v>
      </c>
      <c r="E89" s="103" t="s">
        <v>38</v>
      </c>
      <c r="F89" s="103" t="s">
        <v>19</v>
      </c>
      <c r="G89" s="14"/>
      <c r="H89" s="14"/>
      <c r="I89" s="14"/>
      <c r="J89" s="14"/>
      <c r="K89" s="14"/>
      <c r="L89" s="14"/>
      <c r="M89" s="30"/>
      <c r="N89" s="41" t="s">
        <v>72</v>
      </c>
      <c r="O89" s="164"/>
      <c r="P89" s="141">
        <f>P90</f>
        <v>6290000</v>
      </c>
      <c r="Q89" s="164"/>
      <c r="R89" s="165">
        <f t="shared" si="4"/>
        <v>6290000</v>
      </c>
      <c r="S89" s="165">
        <f>S90</f>
        <v>4348000</v>
      </c>
      <c r="T89" s="165"/>
      <c r="U89" s="165">
        <f>U90</f>
        <v>4648000</v>
      </c>
      <c r="V89" s="165"/>
      <c r="W89" s="165">
        <f t="shared" si="2"/>
        <v>4648000</v>
      </c>
      <c r="X89" s="168">
        <f t="shared" si="3"/>
        <v>1642000</v>
      </c>
      <c r="Y89" s="168"/>
      <c r="Z89" s="168">
        <f t="shared" si="7"/>
        <v>-300000</v>
      </c>
      <c r="AA89" s="198">
        <f t="shared" si="6"/>
        <v>0.73895071542130364</v>
      </c>
      <c r="AB89" s="3"/>
      <c r="AC89" s="3"/>
      <c r="AD89" s="3"/>
      <c r="AE89" s="3"/>
    </row>
    <row r="90" spans="1:31" ht="35.25" customHeight="1">
      <c r="A90" s="11">
        <v>7</v>
      </c>
      <c r="B90" s="104" t="s">
        <v>19</v>
      </c>
      <c r="C90" s="104" t="s">
        <v>19</v>
      </c>
      <c r="D90" s="12">
        <v>2</v>
      </c>
      <c r="E90" s="104" t="s">
        <v>38</v>
      </c>
      <c r="F90" s="104" t="s">
        <v>19</v>
      </c>
      <c r="G90" s="12">
        <v>5</v>
      </c>
      <c r="H90" s="12">
        <v>1</v>
      </c>
      <c r="I90" s="104" t="s">
        <v>22</v>
      </c>
      <c r="J90" s="36"/>
      <c r="K90" s="36"/>
      <c r="L90" s="36"/>
      <c r="M90" s="51"/>
      <c r="N90" s="42" t="s">
        <v>49</v>
      </c>
      <c r="O90" s="53"/>
      <c r="P90" s="38">
        <f>P91</f>
        <v>6290000</v>
      </c>
      <c r="Q90" s="53"/>
      <c r="R90" s="82">
        <f t="shared" ref="R90:R143" si="21">O90+P90+Q90</f>
        <v>6290000</v>
      </c>
      <c r="S90" s="81">
        <f>'LRA SP2D'!R91</f>
        <v>4348000</v>
      </c>
      <c r="T90" s="82"/>
      <c r="U90" s="82">
        <f>U91</f>
        <v>4648000</v>
      </c>
      <c r="V90" s="82"/>
      <c r="W90" s="82">
        <f t="shared" ref="W90:W143" si="22">T90+U90+V90</f>
        <v>4648000</v>
      </c>
      <c r="X90" s="170">
        <f t="shared" ref="X90:X143" si="23">R90-W90</f>
        <v>1642000</v>
      </c>
      <c r="Y90" s="170"/>
      <c r="Z90" s="170">
        <f t="shared" ref="Z90:Z143" si="24">S90-W90</f>
        <v>-300000</v>
      </c>
      <c r="AA90" s="196">
        <f t="shared" ref="AA90:AA143" si="25">W90/R90*100%</f>
        <v>0.73895071542130364</v>
      </c>
      <c r="AB90" s="3"/>
      <c r="AC90" s="3"/>
      <c r="AD90" s="3"/>
      <c r="AE90" s="3"/>
    </row>
    <row r="91" spans="1:31" ht="35.25" customHeight="1">
      <c r="A91" s="11">
        <v>7</v>
      </c>
      <c r="B91" s="104" t="s">
        <v>19</v>
      </c>
      <c r="C91" s="104" t="s">
        <v>19</v>
      </c>
      <c r="D91" s="12">
        <v>2</v>
      </c>
      <c r="E91" s="104" t="s">
        <v>38</v>
      </c>
      <c r="F91" s="104" t="s">
        <v>19</v>
      </c>
      <c r="G91" s="12">
        <v>5</v>
      </c>
      <c r="H91" s="12">
        <v>1</v>
      </c>
      <c r="I91" s="104" t="s">
        <v>22</v>
      </c>
      <c r="J91" s="107" t="s">
        <v>19</v>
      </c>
      <c r="K91" s="36"/>
      <c r="L91" s="36"/>
      <c r="M91" s="51"/>
      <c r="N91" s="53" t="s">
        <v>50</v>
      </c>
      <c r="O91" s="53"/>
      <c r="P91" s="38">
        <f>P92</f>
        <v>6290000</v>
      </c>
      <c r="Q91" s="53"/>
      <c r="R91" s="82">
        <f t="shared" si="21"/>
        <v>6290000</v>
      </c>
      <c r="S91" s="81">
        <f>'LRA SP2D'!R92</f>
        <v>4348000</v>
      </c>
      <c r="T91" s="82"/>
      <c r="U91" s="82">
        <f>U92</f>
        <v>4648000</v>
      </c>
      <c r="V91" s="82"/>
      <c r="W91" s="82">
        <f t="shared" si="22"/>
        <v>4648000</v>
      </c>
      <c r="X91" s="170">
        <f t="shared" si="23"/>
        <v>1642000</v>
      </c>
      <c r="Y91" s="170"/>
      <c r="Z91" s="170">
        <f t="shared" si="24"/>
        <v>-300000</v>
      </c>
      <c r="AA91" s="196">
        <f t="shared" si="25"/>
        <v>0.73895071542130364</v>
      </c>
      <c r="AB91" s="3"/>
      <c r="AC91" s="3"/>
      <c r="AD91" s="3"/>
      <c r="AE91" s="3"/>
    </row>
    <row r="92" spans="1:31" ht="35.25" customHeight="1">
      <c r="A92" s="11">
        <v>7</v>
      </c>
      <c r="B92" s="104" t="s">
        <v>19</v>
      </c>
      <c r="C92" s="104" t="s">
        <v>19</v>
      </c>
      <c r="D92" s="12">
        <v>2</v>
      </c>
      <c r="E92" s="104" t="s">
        <v>38</v>
      </c>
      <c r="F92" s="104" t="s">
        <v>19</v>
      </c>
      <c r="G92" s="12">
        <v>5</v>
      </c>
      <c r="H92" s="12">
        <v>1</v>
      </c>
      <c r="I92" s="104" t="s">
        <v>22</v>
      </c>
      <c r="J92" s="107" t="s">
        <v>19</v>
      </c>
      <c r="K92" s="107" t="s">
        <v>19</v>
      </c>
      <c r="L92" s="36"/>
      <c r="M92" s="51"/>
      <c r="N92" s="42" t="s">
        <v>51</v>
      </c>
      <c r="O92" s="53"/>
      <c r="P92" s="38">
        <f>P93</f>
        <v>6290000</v>
      </c>
      <c r="Q92" s="53"/>
      <c r="R92" s="82">
        <f t="shared" si="21"/>
        <v>6290000</v>
      </c>
      <c r="S92" s="81">
        <f>'LRA SP2D'!R93</f>
        <v>4348000</v>
      </c>
      <c r="T92" s="82"/>
      <c r="U92" s="82">
        <f>U93</f>
        <v>4648000</v>
      </c>
      <c r="V92" s="82"/>
      <c r="W92" s="82">
        <f t="shared" si="22"/>
        <v>4648000</v>
      </c>
      <c r="X92" s="170">
        <f t="shared" si="23"/>
        <v>1642000</v>
      </c>
      <c r="Y92" s="170"/>
      <c r="Z92" s="170">
        <f t="shared" si="24"/>
        <v>-300000</v>
      </c>
      <c r="AA92" s="196">
        <f t="shared" si="25"/>
        <v>0.73895071542130364</v>
      </c>
      <c r="AB92" s="3"/>
      <c r="AC92" s="3"/>
      <c r="AD92" s="3"/>
      <c r="AE92" s="3"/>
    </row>
    <row r="93" spans="1:31" ht="35.25" customHeight="1">
      <c r="A93" s="15">
        <v>7</v>
      </c>
      <c r="B93" s="105" t="s">
        <v>19</v>
      </c>
      <c r="C93" s="105" t="s">
        <v>19</v>
      </c>
      <c r="D93" s="16">
        <v>2</v>
      </c>
      <c r="E93" s="105" t="s">
        <v>38</v>
      </c>
      <c r="F93" s="105" t="s">
        <v>19</v>
      </c>
      <c r="G93" s="16">
        <v>5</v>
      </c>
      <c r="H93" s="16">
        <v>1</v>
      </c>
      <c r="I93" s="105" t="s">
        <v>22</v>
      </c>
      <c r="J93" s="106" t="s">
        <v>19</v>
      </c>
      <c r="K93" s="106" t="s">
        <v>19</v>
      </c>
      <c r="L93" s="106" t="s">
        <v>56</v>
      </c>
      <c r="M93" s="51">
        <v>7</v>
      </c>
      <c r="N93" s="34" t="s">
        <v>73</v>
      </c>
      <c r="O93" s="34"/>
      <c r="P93" s="35">
        <f>'LRA SP2D'!O94</f>
        <v>6290000</v>
      </c>
      <c r="Q93" s="34"/>
      <c r="R93" s="81">
        <f t="shared" si="21"/>
        <v>6290000</v>
      </c>
      <c r="S93" s="81">
        <f>'LRA SP2D'!R94</f>
        <v>4348000</v>
      </c>
      <c r="T93" s="81"/>
      <c r="U93" s="81">
        <f>'LRA SP2D'!U94</f>
        <v>4648000</v>
      </c>
      <c r="V93" s="81"/>
      <c r="W93" s="81">
        <f t="shared" si="22"/>
        <v>4648000</v>
      </c>
      <c r="X93" s="161">
        <f t="shared" si="23"/>
        <v>1642000</v>
      </c>
      <c r="Y93" s="161"/>
      <c r="Z93" s="161">
        <f t="shared" si="24"/>
        <v>-300000</v>
      </c>
      <c r="AA93" s="199">
        <f t="shared" si="25"/>
        <v>0.73895071542130364</v>
      </c>
      <c r="AB93" s="3"/>
      <c r="AC93" s="3"/>
      <c r="AD93" s="3"/>
      <c r="AE93" s="3"/>
    </row>
    <row r="94" spans="1:31" ht="16.3">
      <c r="A94" s="15"/>
      <c r="B94" s="16"/>
      <c r="C94" s="16"/>
      <c r="D94" s="16"/>
      <c r="E94" s="16"/>
      <c r="F94" s="16"/>
      <c r="G94" s="16"/>
      <c r="H94" s="16"/>
      <c r="I94" s="16"/>
      <c r="J94" s="36"/>
      <c r="K94" s="36"/>
      <c r="L94" s="36"/>
      <c r="M94" s="51"/>
      <c r="N94" s="34"/>
      <c r="O94" s="34"/>
      <c r="P94" s="34"/>
      <c r="Q94" s="34"/>
      <c r="R94" s="81">
        <f t="shared" si="21"/>
        <v>0</v>
      </c>
      <c r="S94" s="34"/>
      <c r="T94" s="81"/>
      <c r="U94" s="81"/>
      <c r="V94" s="81"/>
      <c r="W94" s="81"/>
      <c r="X94" s="161"/>
      <c r="Y94" s="161"/>
      <c r="Z94" s="161"/>
      <c r="AA94" s="199"/>
      <c r="AB94" s="3"/>
      <c r="AC94" s="3"/>
      <c r="AD94" s="3"/>
      <c r="AE94" s="3"/>
    </row>
    <row r="95" spans="1:31" ht="40.5" customHeight="1">
      <c r="A95" s="13">
        <v>7</v>
      </c>
      <c r="B95" s="103" t="s">
        <v>19</v>
      </c>
      <c r="C95" s="103" t="s">
        <v>19</v>
      </c>
      <c r="D95" s="14">
        <v>2</v>
      </c>
      <c r="E95" s="103" t="s">
        <v>38</v>
      </c>
      <c r="F95" s="103" t="s">
        <v>22</v>
      </c>
      <c r="G95" s="14"/>
      <c r="H95" s="14"/>
      <c r="I95" s="14"/>
      <c r="J95" s="14"/>
      <c r="K95" s="14"/>
      <c r="L95" s="14"/>
      <c r="M95" s="30"/>
      <c r="N95" s="41" t="s">
        <v>74</v>
      </c>
      <c r="O95" s="166"/>
      <c r="P95" s="141">
        <f>P96</f>
        <v>84029033</v>
      </c>
      <c r="Q95" s="164"/>
      <c r="R95" s="165">
        <f t="shared" si="21"/>
        <v>84029033</v>
      </c>
      <c r="S95" s="141">
        <f>S96</f>
        <v>60976353</v>
      </c>
      <c r="T95" s="165"/>
      <c r="U95" s="141">
        <f>U96</f>
        <v>60353363</v>
      </c>
      <c r="V95" s="165"/>
      <c r="W95" s="165">
        <f t="shared" si="22"/>
        <v>60353363</v>
      </c>
      <c r="X95" s="168">
        <f t="shared" si="23"/>
        <v>23675670</v>
      </c>
      <c r="Y95" s="168"/>
      <c r="Z95" s="168">
        <f t="shared" si="24"/>
        <v>622990</v>
      </c>
      <c r="AA95" s="198">
        <f t="shared" si="25"/>
        <v>0.71824416925040657</v>
      </c>
      <c r="AB95" s="3"/>
      <c r="AC95" s="3"/>
      <c r="AD95" s="3"/>
      <c r="AE95" s="3"/>
    </row>
    <row r="96" spans="1:31" ht="32.25" customHeight="1">
      <c r="A96" s="11">
        <v>7</v>
      </c>
      <c r="B96" s="104" t="s">
        <v>19</v>
      </c>
      <c r="C96" s="104" t="s">
        <v>19</v>
      </c>
      <c r="D96" s="12">
        <v>2</v>
      </c>
      <c r="E96" s="104" t="s">
        <v>38</v>
      </c>
      <c r="F96" s="104" t="s">
        <v>22</v>
      </c>
      <c r="G96" s="12">
        <v>5</v>
      </c>
      <c r="H96" s="12">
        <v>1</v>
      </c>
      <c r="I96" s="104" t="s">
        <v>22</v>
      </c>
      <c r="J96" s="107" t="s">
        <v>22</v>
      </c>
      <c r="K96" s="36"/>
      <c r="L96" s="36"/>
      <c r="M96" s="51"/>
      <c r="N96" s="53" t="s">
        <v>75</v>
      </c>
      <c r="O96" s="34"/>
      <c r="P96" s="38">
        <f>P97</f>
        <v>84029033</v>
      </c>
      <c r="Q96" s="53"/>
      <c r="R96" s="82">
        <f t="shared" si="21"/>
        <v>84029033</v>
      </c>
      <c r="S96" s="38">
        <f>S97</f>
        <v>60976353</v>
      </c>
      <c r="T96" s="82"/>
      <c r="U96" s="38">
        <f>U97</f>
        <v>60353363</v>
      </c>
      <c r="V96" s="82"/>
      <c r="W96" s="82">
        <f t="shared" si="22"/>
        <v>60353363</v>
      </c>
      <c r="X96" s="170">
        <f t="shared" si="23"/>
        <v>23675670</v>
      </c>
      <c r="Y96" s="170"/>
      <c r="Z96" s="170">
        <f t="shared" si="24"/>
        <v>622990</v>
      </c>
      <c r="AA96" s="196">
        <f t="shared" si="25"/>
        <v>0.71824416925040657</v>
      </c>
      <c r="AB96" s="3"/>
      <c r="AC96" s="3"/>
      <c r="AD96" s="3"/>
      <c r="AE96" s="3"/>
    </row>
    <row r="97" spans="1:31" ht="32.25" customHeight="1">
      <c r="A97" s="11">
        <v>7</v>
      </c>
      <c r="B97" s="104" t="s">
        <v>19</v>
      </c>
      <c r="C97" s="104" t="s">
        <v>19</v>
      </c>
      <c r="D97" s="12">
        <v>2</v>
      </c>
      <c r="E97" s="104" t="s">
        <v>38</v>
      </c>
      <c r="F97" s="104" t="s">
        <v>22</v>
      </c>
      <c r="G97" s="12">
        <v>5</v>
      </c>
      <c r="H97" s="12">
        <v>1</v>
      </c>
      <c r="I97" s="104" t="s">
        <v>22</v>
      </c>
      <c r="J97" s="107" t="s">
        <v>22</v>
      </c>
      <c r="K97" s="107" t="s">
        <v>19</v>
      </c>
      <c r="L97" s="36"/>
      <c r="M97" s="51"/>
      <c r="N97" s="53" t="s">
        <v>76</v>
      </c>
      <c r="O97" s="34"/>
      <c r="P97" s="38">
        <f>SUM(P98:P101)</f>
        <v>84029033</v>
      </c>
      <c r="Q97" s="53"/>
      <c r="R97" s="82">
        <f t="shared" si="21"/>
        <v>84029033</v>
      </c>
      <c r="S97" s="38">
        <f>S98+S99+S100+S101</f>
        <v>60976353</v>
      </c>
      <c r="T97" s="82"/>
      <c r="U97" s="38">
        <f>U98+U99+U100+U101</f>
        <v>60353363</v>
      </c>
      <c r="V97" s="82"/>
      <c r="W97" s="82">
        <f t="shared" si="22"/>
        <v>60353363</v>
      </c>
      <c r="X97" s="170">
        <f t="shared" si="23"/>
        <v>23675670</v>
      </c>
      <c r="Y97" s="170"/>
      <c r="Z97" s="170">
        <f t="shared" si="24"/>
        <v>622990</v>
      </c>
      <c r="AA97" s="196">
        <f t="shared" si="25"/>
        <v>0.71824416925040657</v>
      </c>
      <c r="AB97" s="3"/>
      <c r="AC97" s="3"/>
      <c r="AD97" s="3"/>
      <c r="AE97" s="3"/>
    </row>
    <row r="98" spans="1:31" ht="32.25" customHeight="1">
      <c r="A98" s="305">
        <v>7</v>
      </c>
      <c r="B98" s="306" t="s">
        <v>19</v>
      </c>
      <c r="C98" s="306" t="s">
        <v>19</v>
      </c>
      <c r="D98" s="307">
        <v>2</v>
      </c>
      <c r="E98" s="306" t="s">
        <v>38</v>
      </c>
      <c r="F98" s="306" t="s">
        <v>22</v>
      </c>
      <c r="G98" s="307">
        <v>5</v>
      </c>
      <c r="H98" s="307">
        <v>1</v>
      </c>
      <c r="I98" s="306" t="s">
        <v>22</v>
      </c>
      <c r="J98" s="314" t="s">
        <v>22</v>
      </c>
      <c r="K98" s="314" t="s">
        <v>19</v>
      </c>
      <c r="L98" s="314" t="s">
        <v>66</v>
      </c>
      <c r="M98" s="326">
        <v>2</v>
      </c>
      <c r="N98" s="318" t="s">
        <v>254</v>
      </c>
      <c r="O98" s="34"/>
      <c r="P98" s="35">
        <f>'LRA SP2D'!O99</f>
        <v>600000</v>
      </c>
      <c r="Q98" s="53"/>
      <c r="R98" s="81">
        <f t="shared" si="21"/>
        <v>600000</v>
      </c>
      <c r="S98" s="35">
        <f>U98</f>
        <v>400000</v>
      </c>
      <c r="T98" s="81"/>
      <c r="U98" s="35">
        <f>'LRA SP2D'!U99</f>
        <v>400000</v>
      </c>
      <c r="V98" s="81"/>
      <c r="W98" s="81">
        <f>SUM(T98:V98)</f>
        <v>400000</v>
      </c>
      <c r="X98" s="161">
        <f t="shared" ref="X98" si="26">R98-W98</f>
        <v>200000</v>
      </c>
      <c r="Y98" s="161"/>
      <c r="Z98" s="161">
        <f t="shared" ref="Z98" si="27">S98-W98</f>
        <v>0</v>
      </c>
      <c r="AA98" s="199">
        <f t="shared" ref="AA98" si="28">W98/R98*100%</f>
        <v>0.66666666666666663</v>
      </c>
      <c r="AB98" s="3"/>
      <c r="AC98" s="3"/>
      <c r="AD98" s="3"/>
      <c r="AE98" s="3"/>
    </row>
    <row r="99" spans="1:31" ht="32.25" customHeight="1">
      <c r="A99" s="15">
        <v>7</v>
      </c>
      <c r="B99" s="105" t="s">
        <v>19</v>
      </c>
      <c r="C99" s="105" t="s">
        <v>19</v>
      </c>
      <c r="D99" s="16">
        <v>2</v>
      </c>
      <c r="E99" s="105" t="s">
        <v>38</v>
      </c>
      <c r="F99" s="105" t="s">
        <v>22</v>
      </c>
      <c r="G99" s="16">
        <v>5</v>
      </c>
      <c r="H99" s="16">
        <v>1</v>
      </c>
      <c r="I99" s="105" t="s">
        <v>22</v>
      </c>
      <c r="J99" s="106" t="s">
        <v>22</v>
      </c>
      <c r="K99" s="106" t="s">
        <v>19</v>
      </c>
      <c r="L99" s="106" t="s">
        <v>66</v>
      </c>
      <c r="M99" s="51">
        <v>9</v>
      </c>
      <c r="N99" s="34" t="s">
        <v>77</v>
      </c>
      <c r="O99" s="34"/>
      <c r="P99" s="35">
        <f>'LRA SP2D'!O100</f>
        <v>6003000</v>
      </c>
      <c r="Q99" s="34"/>
      <c r="R99" s="81">
        <f t="shared" si="21"/>
        <v>6003000</v>
      </c>
      <c r="S99" s="81">
        <f>'LRA SP2D'!R100</f>
        <v>3603217</v>
      </c>
      <c r="T99" s="81"/>
      <c r="U99" s="81">
        <f>'LRA SP2D'!U100</f>
        <v>3603217</v>
      </c>
      <c r="V99" s="81"/>
      <c r="W99" s="81">
        <f t="shared" si="22"/>
        <v>3603217</v>
      </c>
      <c r="X99" s="161">
        <f t="shared" si="23"/>
        <v>2399783</v>
      </c>
      <c r="Y99" s="161"/>
      <c r="Z99" s="161">
        <f t="shared" si="24"/>
        <v>0</v>
      </c>
      <c r="AA99" s="199">
        <f t="shared" si="25"/>
        <v>0.60023604864234548</v>
      </c>
      <c r="AB99" s="3"/>
      <c r="AC99" s="3"/>
      <c r="AD99" s="3"/>
      <c r="AE99" s="3"/>
    </row>
    <row r="100" spans="1:31" ht="32.25" customHeight="1">
      <c r="A100" s="15">
        <v>7</v>
      </c>
      <c r="B100" s="105" t="s">
        <v>19</v>
      </c>
      <c r="C100" s="105" t="s">
        <v>19</v>
      </c>
      <c r="D100" s="16">
        <v>2</v>
      </c>
      <c r="E100" s="105" t="s">
        <v>38</v>
      </c>
      <c r="F100" s="105" t="s">
        <v>22</v>
      </c>
      <c r="G100" s="16">
        <v>5</v>
      </c>
      <c r="H100" s="16">
        <v>1</v>
      </c>
      <c r="I100" s="105" t="s">
        <v>22</v>
      </c>
      <c r="J100" s="106" t="s">
        <v>22</v>
      </c>
      <c r="K100" s="106" t="s">
        <v>19</v>
      </c>
      <c r="L100" s="106" t="s">
        <v>78</v>
      </c>
      <c r="M100" s="108" t="s">
        <v>79</v>
      </c>
      <c r="N100" s="34" t="s">
        <v>80</v>
      </c>
      <c r="O100" s="34"/>
      <c r="P100" s="35">
        <f>'LRA SP2D'!O101</f>
        <v>32571000</v>
      </c>
      <c r="Q100" s="34"/>
      <c r="R100" s="81">
        <f t="shared" si="21"/>
        <v>32571000</v>
      </c>
      <c r="S100" s="81">
        <f>'LRA SP2D'!R101</f>
        <v>23165724</v>
      </c>
      <c r="T100" s="81"/>
      <c r="U100" s="81">
        <f>'LRA SP2D'!U101</f>
        <v>23165724</v>
      </c>
      <c r="V100" s="81"/>
      <c r="W100" s="81">
        <f t="shared" si="22"/>
        <v>23165724</v>
      </c>
      <c r="X100" s="161">
        <f t="shared" si="23"/>
        <v>9405276</v>
      </c>
      <c r="Y100" s="161"/>
      <c r="Z100" s="161">
        <f t="shared" si="24"/>
        <v>0</v>
      </c>
      <c r="AA100" s="199">
        <f t="shared" si="25"/>
        <v>0.71123772681219488</v>
      </c>
      <c r="AB100" s="3"/>
      <c r="AC100" s="3"/>
      <c r="AD100" s="3"/>
      <c r="AE100" s="3"/>
    </row>
    <row r="101" spans="1:31" ht="32.25" customHeight="1">
      <c r="A101" s="15">
        <v>7</v>
      </c>
      <c r="B101" s="105" t="s">
        <v>19</v>
      </c>
      <c r="C101" s="105" t="s">
        <v>19</v>
      </c>
      <c r="D101" s="16">
        <v>2</v>
      </c>
      <c r="E101" s="105" t="s">
        <v>38</v>
      </c>
      <c r="F101" s="105" t="s">
        <v>22</v>
      </c>
      <c r="G101" s="16">
        <v>5</v>
      </c>
      <c r="H101" s="16">
        <v>1</v>
      </c>
      <c r="I101" s="105" t="s">
        <v>22</v>
      </c>
      <c r="J101" s="106" t="s">
        <v>22</v>
      </c>
      <c r="K101" s="106" t="s">
        <v>19</v>
      </c>
      <c r="L101" s="106" t="s">
        <v>78</v>
      </c>
      <c r="M101" s="108" t="s">
        <v>10</v>
      </c>
      <c r="N101" s="34" t="s">
        <v>81</v>
      </c>
      <c r="O101" s="34"/>
      <c r="P101" s="35">
        <f>'LRA SP2D'!O102</f>
        <v>44855033</v>
      </c>
      <c r="Q101" s="34"/>
      <c r="R101" s="81">
        <f t="shared" si="21"/>
        <v>44855033</v>
      </c>
      <c r="S101" s="81">
        <f>'LRA SP2D'!R102</f>
        <v>33807412</v>
      </c>
      <c r="T101" s="81"/>
      <c r="U101" s="81">
        <f>'LRA SP2D'!U102</f>
        <v>33184422</v>
      </c>
      <c r="V101" s="81"/>
      <c r="W101" s="81">
        <f t="shared" si="22"/>
        <v>33184422</v>
      </c>
      <c r="X101" s="161">
        <f t="shared" si="23"/>
        <v>11670611</v>
      </c>
      <c r="Y101" s="161"/>
      <c r="Z101" s="161">
        <f t="shared" si="24"/>
        <v>622990</v>
      </c>
      <c r="AA101" s="199">
        <f t="shared" si="25"/>
        <v>0.73981490549789586</v>
      </c>
      <c r="AB101" s="3"/>
      <c r="AC101" s="3"/>
      <c r="AD101" s="3"/>
      <c r="AE101" s="3"/>
    </row>
    <row r="102" spans="1:31" ht="16.3">
      <c r="A102" s="4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51"/>
      <c r="N102" s="35"/>
      <c r="O102" s="34"/>
      <c r="P102" s="34"/>
      <c r="Q102" s="34"/>
      <c r="R102" s="81"/>
      <c r="S102" s="34"/>
      <c r="T102" s="81"/>
      <c r="U102" s="81"/>
      <c r="V102" s="81"/>
      <c r="W102" s="81"/>
      <c r="X102" s="161"/>
      <c r="Y102" s="161"/>
      <c r="Z102" s="161"/>
      <c r="AA102" s="199"/>
      <c r="AB102" s="3"/>
      <c r="AC102" s="3"/>
      <c r="AD102" s="3"/>
      <c r="AE102" s="3"/>
    </row>
    <row r="103" spans="1:31" ht="21" customHeight="1">
      <c r="A103" s="13">
        <v>7</v>
      </c>
      <c r="B103" s="103" t="s">
        <v>19</v>
      </c>
      <c r="C103" s="103" t="s">
        <v>19</v>
      </c>
      <c r="D103" s="14">
        <v>2</v>
      </c>
      <c r="E103" s="103" t="s">
        <v>38</v>
      </c>
      <c r="F103" s="103" t="s">
        <v>54</v>
      </c>
      <c r="G103" s="14"/>
      <c r="H103" s="14"/>
      <c r="I103" s="14"/>
      <c r="J103" s="14"/>
      <c r="K103" s="14"/>
      <c r="L103" s="14"/>
      <c r="M103" s="30"/>
      <c r="N103" s="41" t="s">
        <v>82</v>
      </c>
      <c r="O103" s="164"/>
      <c r="P103" s="141">
        <f>P104</f>
        <v>1054036000</v>
      </c>
      <c r="Q103" s="164"/>
      <c r="R103" s="165">
        <f t="shared" si="21"/>
        <v>1054036000</v>
      </c>
      <c r="S103" s="141">
        <f>S104</f>
        <v>921677792</v>
      </c>
      <c r="T103" s="165"/>
      <c r="U103" s="141">
        <f>U104</f>
        <v>1004080608</v>
      </c>
      <c r="V103" s="165"/>
      <c r="W103" s="165">
        <f t="shared" si="22"/>
        <v>1004080608</v>
      </c>
      <c r="X103" s="168">
        <f t="shared" si="23"/>
        <v>49955392</v>
      </c>
      <c r="Y103" s="168"/>
      <c r="Z103" s="168">
        <f t="shared" si="24"/>
        <v>-82402816</v>
      </c>
      <c r="AA103" s="198">
        <f t="shared" si="25"/>
        <v>0.95260561119354559</v>
      </c>
      <c r="AB103" s="3"/>
      <c r="AC103" s="3"/>
      <c r="AD103" s="3"/>
      <c r="AE103" s="3"/>
    </row>
    <row r="104" spans="1:31" ht="31.5" customHeight="1">
      <c r="A104" s="11">
        <v>7</v>
      </c>
      <c r="B104" s="104" t="s">
        <v>19</v>
      </c>
      <c r="C104" s="104" t="s">
        <v>19</v>
      </c>
      <c r="D104" s="12">
        <v>2</v>
      </c>
      <c r="E104" s="104" t="s">
        <v>38</v>
      </c>
      <c r="F104" s="104" t="s">
        <v>54</v>
      </c>
      <c r="G104" s="12">
        <v>5</v>
      </c>
      <c r="H104" s="12">
        <v>1</v>
      </c>
      <c r="I104" s="104" t="s">
        <v>22</v>
      </c>
      <c r="J104" s="107" t="s">
        <v>22</v>
      </c>
      <c r="K104" s="36"/>
      <c r="L104" s="36"/>
      <c r="M104" s="51"/>
      <c r="N104" s="53" t="s">
        <v>75</v>
      </c>
      <c r="O104" s="53"/>
      <c r="P104" s="38">
        <f>P105+P110</f>
        <v>1054036000</v>
      </c>
      <c r="Q104" s="53"/>
      <c r="R104" s="82">
        <f t="shared" si="21"/>
        <v>1054036000</v>
      </c>
      <c r="S104" s="38">
        <f>S105+S110</f>
        <v>921677792</v>
      </c>
      <c r="T104" s="82"/>
      <c r="U104" s="38">
        <f>U105+U110</f>
        <v>1004080608</v>
      </c>
      <c r="V104" s="82"/>
      <c r="W104" s="82">
        <f t="shared" si="22"/>
        <v>1004080608</v>
      </c>
      <c r="X104" s="170">
        <f t="shared" si="23"/>
        <v>49955392</v>
      </c>
      <c r="Y104" s="170"/>
      <c r="Z104" s="170">
        <f t="shared" si="24"/>
        <v>-82402816</v>
      </c>
      <c r="AA104" s="196">
        <f t="shared" si="25"/>
        <v>0.95260561119354559</v>
      </c>
      <c r="AB104" s="3"/>
      <c r="AC104" s="3"/>
      <c r="AD104" s="3"/>
      <c r="AE104" s="3"/>
    </row>
    <row r="105" spans="1:31" ht="31.5" customHeight="1">
      <c r="A105" s="11">
        <v>7</v>
      </c>
      <c r="B105" s="104" t="s">
        <v>19</v>
      </c>
      <c r="C105" s="104" t="s">
        <v>19</v>
      </c>
      <c r="D105" s="12">
        <v>2</v>
      </c>
      <c r="E105" s="104" t="s">
        <v>38</v>
      </c>
      <c r="F105" s="104" t="s">
        <v>54</v>
      </c>
      <c r="G105" s="12">
        <v>5</v>
      </c>
      <c r="H105" s="12">
        <v>1</v>
      </c>
      <c r="I105" s="104" t="s">
        <v>22</v>
      </c>
      <c r="J105" s="107" t="s">
        <v>22</v>
      </c>
      <c r="K105" s="107" t="s">
        <v>19</v>
      </c>
      <c r="L105" s="36"/>
      <c r="M105" s="51"/>
      <c r="N105" s="53" t="s">
        <v>76</v>
      </c>
      <c r="O105" s="53"/>
      <c r="P105" s="38">
        <f>SUM(P106:P109)</f>
        <v>1041940000</v>
      </c>
      <c r="Q105" s="53"/>
      <c r="R105" s="82">
        <f t="shared" si="21"/>
        <v>1041940000</v>
      </c>
      <c r="S105" s="38">
        <f>SUM(S106:S109)</f>
        <v>916040000</v>
      </c>
      <c r="T105" s="82"/>
      <c r="U105" s="38">
        <f>SUM(U106:U109)</f>
        <v>998280000</v>
      </c>
      <c r="V105" s="82"/>
      <c r="W105" s="82">
        <f t="shared" si="22"/>
        <v>998280000</v>
      </c>
      <c r="X105" s="170">
        <f t="shared" si="23"/>
        <v>43660000</v>
      </c>
      <c r="Y105" s="170"/>
      <c r="Z105" s="170">
        <f t="shared" si="24"/>
        <v>-82240000</v>
      </c>
      <c r="AA105" s="196">
        <f t="shared" si="25"/>
        <v>0.95809739524348814</v>
      </c>
      <c r="AB105" s="3"/>
      <c r="AC105" s="3"/>
      <c r="AD105" s="3"/>
      <c r="AE105" s="3"/>
    </row>
    <row r="106" spans="1:31" ht="31.5" customHeight="1">
      <c r="A106" s="15">
        <v>7</v>
      </c>
      <c r="B106" s="105" t="s">
        <v>19</v>
      </c>
      <c r="C106" s="105" t="s">
        <v>19</v>
      </c>
      <c r="D106" s="16">
        <v>2</v>
      </c>
      <c r="E106" s="105" t="s">
        <v>38</v>
      </c>
      <c r="F106" s="105" t="s">
        <v>54</v>
      </c>
      <c r="G106" s="16">
        <v>5</v>
      </c>
      <c r="H106" s="16">
        <v>1</v>
      </c>
      <c r="I106" s="105" t="s">
        <v>22</v>
      </c>
      <c r="J106" s="106" t="s">
        <v>22</v>
      </c>
      <c r="K106" s="106" t="s">
        <v>19</v>
      </c>
      <c r="L106" s="106" t="s">
        <v>56</v>
      </c>
      <c r="M106" s="51">
        <v>6</v>
      </c>
      <c r="N106" s="34" t="s">
        <v>83</v>
      </c>
      <c r="O106" s="34"/>
      <c r="P106" s="35">
        <f>'LRA SP2D'!O107</f>
        <v>428700000</v>
      </c>
      <c r="Q106" s="34"/>
      <c r="R106" s="81">
        <f t="shared" si="21"/>
        <v>428700000</v>
      </c>
      <c r="S106" s="81">
        <f>'LRA SP2D'!R107</f>
        <v>375200000</v>
      </c>
      <c r="T106" s="81"/>
      <c r="U106" s="81">
        <f>'LRA SP2D'!U107</f>
        <v>409200000</v>
      </c>
      <c r="V106" s="81"/>
      <c r="W106" s="81">
        <f t="shared" si="22"/>
        <v>409200000</v>
      </c>
      <c r="X106" s="161">
        <f t="shared" si="23"/>
        <v>19500000</v>
      </c>
      <c r="Y106" s="161"/>
      <c r="Z106" s="161">
        <f t="shared" si="24"/>
        <v>-34000000</v>
      </c>
      <c r="AA106" s="199">
        <f t="shared" si="25"/>
        <v>0.95451364590622811</v>
      </c>
      <c r="AB106" s="3"/>
      <c r="AC106" s="3"/>
      <c r="AD106" s="3"/>
      <c r="AE106" s="3"/>
    </row>
    <row r="107" spans="1:31" ht="31.5" customHeight="1">
      <c r="A107" s="15">
        <v>7</v>
      </c>
      <c r="B107" s="105" t="s">
        <v>19</v>
      </c>
      <c r="C107" s="105" t="s">
        <v>19</v>
      </c>
      <c r="D107" s="16">
        <v>2</v>
      </c>
      <c r="E107" s="105" t="s">
        <v>38</v>
      </c>
      <c r="F107" s="105" t="s">
        <v>54</v>
      </c>
      <c r="G107" s="16">
        <v>5</v>
      </c>
      <c r="H107" s="16">
        <v>1</v>
      </c>
      <c r="I107" s="105" t="s">
        <v>22</v>
      </c>
      <c r="J107" s="106" t="s">
        <v>22</v>
      </c>
      <c r="K107" s="106" t="s">
        <v>19</v>
      </c>
      <c r="L107" s="106" t="s">
        <v>52</v>
      </c>
      <c r="M107" s="108" t="s">
        <v>79</v>
      </c>
      <c r="N107" s="34" t="s">
        <v>84</v>
      </c>
      <c r="O107" s="34"/>
      <c r="P107" s="35">
        <f>'LRA SP2D'!O108</f>
        <v>255080000</v>
      </c>
      <c r="Q107" s="34"/>
      <c r="R107" s="81">
        <f t="shared" si="21"/>
        <v>255080000</v>
      </c>
      <c r="S107" s="81">
        <f>'LRA SP2D'!R108</f>
        <v>212600000</v>
      </c>
      <c r="T107" s="81"/>
      <c r="U107" s="81">
        <f>'LRA SP2D'!U108</f>
        <v>232040000</v>
      </c>
      <c r="V107" s="81"/>
      <c r="W107" s="81">
        <f t="shared" si="22"/>
        <v>232040000</v>
      </c>
      <c r="X107" s="161">
        <f t="shared" si="23"/>
        <v>23040000</v>
      </c>
      <c r="Y107" s="161"/>
      <c r="Z107" s="161">
        <f t="shared" si="24"/>
        <v>-19440000</v>
      </c>
      <c r="AA107" s="199">
        <f t="shared" si="25"/>
        <v>0.90967539595421043</v>
      </c>
      <c r="AB107" s="3"/>
      <c r="AC107" s="3"/>
      <c r="AD107" s="3"/>
      <c r="AE107" s="3"/>
    </row>
    <row r="108" spans="1:31" ht="31.5" customHeight="1">
      <c r="A108" s="15">
        <v>7</v>
      </c>
      <c r="B108" s="105" t="s">
        <v>19</v>
      </c>
      <c r="C108" s="105" t="s">
        <v>19</v>
      </c>
      <c r="D108" s="16">
        <v>2</v>
      </c>
      <c r="E108" s="105" t="s">
        <v>38</v>
      </c>
      <c r="F108" s="105" t="s">
        <v>54</v>
      </c>
      <c r="G108" s="16">
        <v>5</v>
      </c>
      <c r="H108" s="16">
        <v>1</v>
      </c>
      <c r="I108" s="105" t="s">
        <v>22</v>
      </c>
      <c r="J108" s="106" t="s">
        <v>22</v>
      </c>
      <c r="K108" s="106" t="s">
        <v>19</v>
      </c>
      <c r="L108" s="106" t="s">
        <v>52</v>
      </c>
      <c r="M108" s="108" t="s">
        <v>10</v>
      </c>
      <c r="N108" s="34" t="s">
        <v>85</v>
      </c>
      <c r="O108" s="34"/>
      <c r="P108" s="35">
        <f>'LRA SP2D'!O109</f>
        <v>307160000</v>
      </c>
      <c r="Q108" s="34"/>
      <c r="R108" s="81">
        <f t="shared" si="21"/>
        <v>307160000</v>
      </c>
      <c r="S108" s="81">
        <f>'LRA SP2D'!R109</f>
        <v>281960000</v>
      </c>
      <c r="T108" s="81"/>
      <c r="U108" s="81">
        <f>'LRA SP2D'!U109</f>
        <v>306760000</v>
      </c>
      <c r="V108" s="81"/>
      <c r="W108" s="81">
        <f t="shared" si="22"/>
        <v>306760000</v>
      </c>
      <c r="X108" s="161">
        <f t="shared" si="23"/>
        <v>400000</v>
      </c>
      <c r="Y108" s="161"/>
      <c r="Z108" s="161">
        <f t="shared" si="24"/>
        <v>-24800000</v>
      </c>
      <c r="AA108" s="199">
        <f t="shared" si="25"/>
        <v>0.99869774710248727</v>
      </c>
      <c r="AB108" s="3"/>
      <c r="AC108" s="3"/>
      <c r="AD108" s="3"/>
      <c r="AE108" s="3"/>
    </row>
    <row r="109" spans="1:31" ht="31.5" customHeight="1">
      <c r="A109" s="15">
        <v>7</v>
      </c>
      <c r="B109" s="105" t="s">
        <v>19</v>
      </c>
      <c r="C109" s="105" t="s">
        <v>19</v>
      </c>
      <c r="D109" s="16">
        <v>2</v>
      </c>
      <c r="E109" s="105" t="s">
        <v>38</v>
      </c>
      <c r="F109" s="105" t="s">
        <v>54</v>
      </c>
      <c r="G109" s="16">
        <v>5</v>
      </c>
      <c r="H109" s="16">
        <v>1</v>
      </c>
      <c r="I109" s="105" t="s">
        <v>22</v>
      </c>
      <c r="J109" s="106" t="s">
        <v>22</v>
      </c>
      <c r="K109" s="106" t="s">
        <v>19</v>
      </c>
      <c r="L109" s="106" t="s">
        <v>52</v>
      </c>
      <c r="M109" s="108" t="s">
        <v>86</v>
      </c>
      <c r="N109" s="34" t="s">
        <v>87</v>
      </c>
      <c r="O109" s="34"/>
      <c r="P109" s="35">
        <f>'LRA SP2D'!O110</f>
        <v>51000000</v>
      </c>
      <c r="Q109" s="34"/>
      <c r="R109" s="81">
        <f t="shared" si="21"/>
        <v>51000000</v>
      </c>
      <c r="S109" s="81">
        <f>'LRA SP2D'!R110</f>
        <v>46280000</v>
      </c>
      <c r="T109" s="81"/>
      <c r="U109" s="81">
        <f>'LRA SP2D'!U110</f>
        <v>50280000</v>
      </c>
      <c r="V109" s="81"/>
      <c r="W109" s="81">
        <f t="shared" si="22"/>
        <v>50280000</v>
      </c>
      <c r="X109" s="161">
        <f t="shared" si="23"/>
        <v>720000</v>
      </c>
      <c r="Y109" s="161"/>
      <c r="Z109" s="161">
        <f t="shared" si="24"/>
        <v>-4000000</v>
      </c>
      <c r="AA109" s="199">
        <f t="shared" si="25"/>
        <v>0.98588235294117643</v>
      </c>
      <c r="AB109" s="3"/>
      <c r="AC109" s="3"/>
      <c r="AD109" s="3"/>
      <c r="AE109" s="3"/>
    </row>
    <row r="110" spans="1:31" ht="31.5" customHeight="1">
      <c r="A110" s="11">
        <v>7</v>
      </c>
      <c r="B110" s="104" t="s">
        <v>19</v>
      </c>
      <c r="C110" s="104" t="s">
        <v>19</v>
      </c>
      <c r="D110" s="12">
        <v>2</v>
      </c>
      <c r="E110" s="104" t="s">
        <v>38</v>
      </c>
      <c r="F110" s="104" t="s">
        <v>54</v>
      </c>
      <c r="G110" s="12">
        <v>5</v>
      </c>
      <c r="H110" s="12">
        <v>1</v>
      </c>
      <c r="I110" s="104" t="s">
        <v>22</v>
      </c>
      <c r="J110" s="107" t="s">
        <v>22</v>
      </c>
      <c r="K110" s="107" t="s">
        <v>22</v>
      </c>
      <c r="L110" s="36"/>
      <c r="M110" s="51"/>
      <c r="N110" s="53" t="s">
        <v>88</v>
      </c>
      <c r="O110" s="53"/>
      <c r="P110" s="38">
        <f>P111+P112</f>
        <v>12096000</v>
      </c>
      <c r="Q110" s="53"/>
      <c r="R110" s="82">
        <f t="shared" si="21"/>
        <v>12096000</v>
      </c>
      <c r="S110" s="82">
        <f>'LRA SP2D'!R111</f>
        <v>5637792</v>
      </c>
      <c r="T110" s="82"/>
      <c r="U110" s="82">
        <f>'LRA SP2D'!U111</f>
        <v>5800608</v>
      </c>
      <c r="V110" s="82"/>
      <c r="W110" s="82">
        <f t="shared" si="22"/>
        <v>5800608</v>
      </c>
      <c r="X110" s="170">
        <f t="shared" si="23"/>
        <v>6295392</v>
      </c>
      <c r="Y110" s="170"/>
      <c r="Z110" s="170">
        <f t="shared" si="24"/>
        <v>-162816</v>
      </c>
      <c r="AA110" s="196">
        <f t="shared" si="25"/>
        <v>0.47954761904761906</v>
      </c>
      <c r="AB110" s="3"/>
      <c r="AC110" s="3"/>
      <c r="AD110" s="3"/>
      <c r="AE110" s="3"/>
    </row>
    <row r="111" spans="1:31" ht="31.5" customHeight="1">
      <c r="A111" s="15">
        <v>7</v>
      </c>
      <c r="B111" s="105" t="s">
        <v>19</v>
      </c>
      <c r="C111" s="105" t="s">
        <v>19</v>
      </c>
      <c r="D111" s="16">
        <v>2</v>
      </c>
      <c r="E111" s="105" t="s">
        <v>38</v>
      </c>
      <c r="F111" s="105" t="s">
        <v>54</v>
      </c>
      <c r="G111" s="16">
        <v>5</v>
      </c>
      <c r="H111" s="16">
        <v>1</v>
      </c>
      <c r="I111" s="105" t="s">
        <v>22</v>
      </c>
      <c r="J111" s="106" t="s">
        <v>22</v>
      </c>
      <c r="K111" s="106" t="s">
        <v>22</v>
      </c>
      <c r="L111" s="106" t="s">
        <v>27</v>
      </c>
      <c r="M111" s="108" t="s">
        <v>89</v>
      </c>
      <c r="N111" s="34" t="s">
        <v>90</v>
      </c>
      <c r="O111" s="34"/>
      <c r="P111" s="35">
        <f>'LRA SP2D'!O112</f>
        <v>3024000</v>
      </c>
      <c r="Q111" s="34"/>
      <c r="R111" s="81">
        <f t="shared" si="21"/>
        <v>3024000</v>
      </c>
      <c r="S111" s="81">
        <f>'LRA SP2D'!R112</f>
        <v>2505600</v>
      </c>
      <c r="T111" s="81"/>
      <c r="U111" s="81">
        <f>'LRA SP2D'!U112</f>
        <v>2587008</v>
      </c>
      <c r="V111" s="81"/>
      <c r="W111" s="81">
        <f t="shared" si="22"/>
        <v>2587008</v>
      </c>
      <c r="X111" s="161">
        <f t="shared" si="23"/>
        <v>436992</v>
      </c>
      <c r="Y111" s="161"/>
      <c r="Z111" s="161">
        <f t="shared" si="24"/>
        <v>-81408</v>
      </c>
      <c r="AA111" s="199">
        <f t="shared" si="25"/>
        <v>0.85549206349206353</v>
      </c>
      <c r="AB111" s="3"/>
      <c r="AC111" s="3"/>
      <c r="AD111" s="3"/>
      <c r="AE111" s="3"/>
    </row>
    <row r="112" spans="1:31" ht="31.5" customHeight="1">
      <c r="A112" s="15">
        <v>7</v>
      </c>
      <c r="B112" s="105" t="s">
        <v>19</v>
      </c>
      <c r="C112" s="105" t="s">
        <v>19</v>
      </c>
      <c r="D112" s="16">
        <v>2</v>
      </c>
      <c r="E112" s="105" t="s">
        <v>38</v>
      </c>
      <c r="F112" s="105" t="s">
        <v>54</v>
      </c>
      <c r="G112" s="16">
        <v>5</v>
      </c>
      <c r="H112" s="16">
        <v>1</v>
      </c>
      <c r="I112" s="105" t="s">
        <v>22</v>
      </c>
      <c r="J112" s="106" t="s">
        <v>22</v>
      </c>
      <c r="K112" s="106" t="s">
        <v>22</v>
      </c>
      <c r="L112" s="106" t="s">
        <v>27</v>
      </c>
      <c r="M112" s="108" t="s">
        <v>14</v>
      </c>
      <c r="N112" s="34" t="s">
        <v>91</v>
      </c>
      <c r="O112" s="34"/>
      <c r="P112" s="35">
        <f>'LRA SP2D'!O113</f>
        <v>9072000</v>
      </c>
      <c r="Q112" s="34"/>
      <c r="R112" s="81">
        <f t="shared" si="21"/>
        <v>9072000</v>
      </c>
      <c r="S112" s="81">
        <f>'LRA SP2D'!R113</f>
        <v>3132192</v>
      </c>
      <c r="T112" s="81"/>
      <c r="U112" s="81">
        <f>'LRA SP2D'!U113</f>
        <v>3213600</v>
      </c>
      <c r="V112" s="81"/>
      <c r="W112" s="81">
        <f t="shared" si="22"/>
        <v>3213600</v>
      </c>
      <c r="X112" s="161">
        <f t="shared" si="23"/>
        <v>5858400</v>
      </c>
      <c r="Y112" s="161"/>
      <c r="Z112" s="161">
        <f t="shared" si="24"/>
        <v>-81408</v>
      </c>
      <c r="AA112" s="199">
        <f t="shared" si="25"/>
        <v>0.35423280423280423</v>
      </c>
      <c r="AB112" s="3"/>
      <c r="AC112" s="3"/>
      <c r="AD112" s="3"/>
      <c r="AE112" s="3"/>
    </row>
    <row r="113" spans="1:31" ht="16.3">
      <c r="A113" s="15"/>
      <c r="B113" s="16"/>
      <c r="C113" s="16"/>
      <c r="D113" s="16"/>
      <c r="E113" s="16"/>
      <c r="F113" s="16"/>
      <c r="G113" s="16"/>
      <c r="H113" s="16"/>
      <c r="I113" s="16"/>
      <c r="J113" s="36"/>
      <c r="K113" s="36"/>
      <c r="L113" s="36"/>
      <c r="M113" s="51"/>
      <c r="N113" s="34"/>
      <c r="O113" s="34"/>
      <c r="P113" s="34"/>
      <c r="Q113" s="34"/>
      <c r="R113" s="81"/>
      <c r="S113" s="34"/>
      <c r="T113" s="81"/>
      <c r="U113" s="81"/>
      <c r="V113" s="81"/>
      <c r="W113" s="81"/>
      <c r="X113" s="161"/>
      <c r="Y113" s="161"/>
      <c r="Z113" s="161"/>
      <c r="AA113" s="199"/>
      <c r="AB113" s="3"/>
      <c r="AC113" s="3"/>
      <c r="AD113" s="3"/>
      <c r="AE113" s="3"/>
    </row>
    <row r="114" spans="1:31" ht="53.25" customHeight="1">
      <c r="A114" s="9">
        <v>7</v>
      </c>
      <c r="B114" s="102" t="s">
        <v>19</v>
      </c>
      <c r="C114" s="102" t="s">
        <v>19</v>
      </c>
      <c r="D114" s="10">
        <v>2</v>
      </c>
      <c r="E114" s="102" t="s">
        <v>40</v>
      </c>
      <c r="F114" s="10"/>
      <c r="G114" s="10"/>
      <c r="H114" s="10"/>
      <c r="I114" s="10"/>
      <c r="J114" s="10"/>
      <c r="K114" s="10"/>
      <c r="L114" s="10"/>
      <c r="M114" s="24"/>
      <c r="N114" s="25" t="s">
        <v>92</v>
      </c>
      <c r="O114" s="163">
        <f>O116+O129+O143</f>
        <v>0</v>
      </c>
      <c r="P114" s="163">
        <f t="shared" ref="P114:R114" si="29">P116+P129+P143</f>
        <v>378544600</v>
      </c>
      <c r="Q114" s="163">
        <f t="shared" si="29"/>
        <v>0</v>
      </c>
      <c r="R114" s="163">
        <f t="shared" si="29"/>
        <v>378544600</v>
      </c>
      <c r="S114" s="163">
        <f>S116+S129+S143</f>
        <v>289618503</v>
      </c>
      <c r="T114" s="163">
        <f t="shared" ref="T114:W114" si="30">T116+T129+T143</f>
        <v>0</v>
      </c>
      <c r="U114" s="163">
        <f t="shared" si="30"/>
        <v>295413003</v>
      </c>
      <c r="V114" s="163">
        <f t="shared" si="30"/>
        <v>0</v>
      </c>
      <c r="W114" s="163">
        <f t="shared" si="30"/>
        <v>295413003</v>
      </c>
      <c r="X114" s="95">
        <f t="shared" si="23"/>
        <v>83131597</v>
      </c>
      <c r="Y114" s="95"/>
      <c r="Z114" s="95">
        <f t="shared" si="24"/>
        <v>-5794500</v>
      </c>
      <c r="AA114" s="197">
        <f t="shared" si="25"/>
        <v>0.78039153906831582</v>
      </c>
      <c r="AB114" s="3"/>
      <c r="AC114" s="3"/>
      <c r="AD114" s="3"/>
      <c r="AE114" s="3"/>
    </row>
    <row r="115" spans="1:31" ht="16.3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27"/>
      <c r="N115" s="42"/>
      <c r="O115" s="34"/>
      <c r="P115" s="34"/>
      <c r="Q115" s="34"/>
      <c r="R115" s="81"/>
      <c r="S115" s="34"/>
      <c r="T115" s="81"/>
      <c r="U115" s="34"/>
      <c r="V115" s="81"/>
      <c r="W115" s="81"/>
      <c r="X115" s="161"/>
      <c r="Y115" s="161"/>
      <c r="Z115" s="161"/>
      <c r="AA115" s="199"/>
      <c r="AB115" s="3"/>
      <c r="AC115" s="3"/>
      <c r="AD115" s="3"/>
      <c r="AE115" s="3"/>
    </row>
    <row r="116" spans="1:31" ht="54" customHeight="1">
      <c r="A116" s="13">
        <v>7</v>
      </c>
      <c r="B116" s="103" t="s">
        <v>19</v>
      </c>
      <c r="C116" s="103" t="s">
        <v>19</v>
      </c>
      <c r="D116" s="14">
        <v>2</v>
      </c>
      <c r="E116" s="103" t="s">
        <v>40</v>
      </c>
      <c r="F116" s="103" t="s">
        <v>22</v>
      </c>
      <c r="G116" s="14"/>
      <c r="H116" s="14"/>
      <c r="I116" s="14"/>
      <c r="J116" s="14"/>
      <c r="K116" s="14"/>
      <c r="L116" s="14"/>
      <c r="M116" s="30"/>
      <c r="N116" s="41" t="s">
        <v>93</v>
      </c>
      <c r="O116" s="164"/>
      <c r="P116" s="141">
        <f>P117</f>
        <v>200822100</v>
      </c>
      <c r="Q116" s="164"/>
      <c r="R116" s="165">
        <f t="shared" si="21"/>
        <v>200822100</v>
      </c>
      <c r="S116" s="141">
        <f>S117</f>
        <v>165710300</v>
      </c>
      <c r="T116" s="165"/>
      <c r="U116" s="141">
        <f>U117</f>
        <v>167945800</v>
      </c>
      <c r="V116" s="165"/>
      <c r="W116" s="165">
        <f t="shared" si="22"/>
        <v>167945800</v>
      </c>
      <c r="X116" s="168">
        <f t="shared" si="23"/>
        <v>32876300</v>
      </c>
      <c r="Y116" s="168"/>
      <c r="Z116" s="168">
        <f t="shared" si="24"/>
        <v>-2235500</v>
      </c>
      <c r="AA116" s="198">
        <f t="shared" si="25"/>
        <v>0.83629142410123192</v>
      </c>
      <c r="AB116" s="3"/>
      <c r="AC116" s="3"/>
      <c r="AD116" s="3"/>
      <c r="AE116" s="3"/>
    </row>
    <row r="117" spans="1:31" ht="37.5" customHeight="1">
      <c r="A117" s="11">
        <v>7</v>
      </c>
      <c r="B117" s="104" t="s">
        <v>19</v>
      </c>
      <c r="C117" s="104" t="s">
        <v>19</v>
      </c>
      <c r="D117" s="12">
        <v>2</v>
      </c>
      <c r="E117" s="104" t="s">
        <v>40</v>
      </c>
      <c r="F117" s="104" t="s">
        <v>22</v>
      </c>
      <c r="G117" s="12">
        <v>5</v>
      </c>
      <c r="H117" s="12">
        <v>1</v>
      </c>
      <c r="I117" s="104" t="s">
        <v>22</v>
      </c>
      <c r="J117" s="50"/>
      <c r="K117" s="36"/>
      <c r="L117" s="36"/>
      <c r="M117" s="51"/>
      <c r="N117" s="53" t="s">
        <v>49</v>
      </c>
      <c r="O117" s="53"/>
      <c r="P117" s="38">
        <f>P118+P121+P125</f>
        <v>200822100</v>
      </c>
      <c r="Q117" s="53"/>
      <c r="R117" s="82">
        <f t="shared" si="21"/>
        <v>200822100</v>
      </c>
      <c r="S117" s="38">
        <f>S118+S121+S125</f>
        <v>165710300</v>
      </c>
      <c r="T117" s="82"/>
      <c r="U117" s="38">
        <f>U118+U121+U125</f>
        <v>167945800</v>
      </c>
      <c r="V117" s="82"/>
      <c r="W117" s="82">
        <f t="shared" si="22"/>
        <v>167945800</v>
      </c>
      <c r="X117" s="170">
        <f t="shared" si="23"/>
        <v>32876300</v>
      </c>
      <c r="Y117" s="170"/>
      <c r="Z117" s="170">
        <f t="shared" si="24"/>
        <v>-2235500</v>
      </c>
      <c r="AA117" s="196">
        <f t="shared" si="25"/>
        <v>0.83629142410123192</v>
      </c>
      <c r="AB117" s="3"/>
      <c r="AC117" s="3"/>
      <c r="AD117" s="3"/>
      <c r="AE117" s="3"/>
    </row>
    <row r="118" spans="1:31" ht="37.5" customHeight="1">
      <c r="A118" s="11">
        <v>7</v>
      </c>
      <c r="B118" s="104" t="s">
        <v>19</v>
      </c>
      <c r="C118" s="104" t="s">
        <v>19</v>
      </c>
      <c r="D118" s="12">
        <v>2</v>
      </c>
      <c r="E118" s="104" t="s">
        <v>40</v>
      </c>
      <c r="F118" s="104" t="s">
        <v>22</v>
      </c>
      <c r="G118" s="12">
        <v>5</v>
      </c>
      <c r="H118" s="12">
        <v>1</v>
      </c>
      <c r="I118" s="104" t="s">
        <v>22</v>
      </c>
      <c r="J118" s="107" t="s">
        <v>19</v>
      </c>
      <c r="K118" s="36"/>
      <c r="L118" s="36"/>
      <c r="M118" s="51"/>
      <c r="N118" s="53" t="s">
        <v>65</v>
      </c>
      <c r="O118" s="53"/>
      <c r="P118" s="38">
        <f>P119</f>
        <v>93922100</v>
      </c>
      <c r="Q118" s="53"/>
      <c r="R118" s="82">
        <f t="shared" si="21"/>
        <v>93922100</v>
      </c>
      <c r="S118" s="38">
        <f>S119</f>
        <v>84946000</v>
      </c>
      <c r="T118" s="82"/>
      <c r="U118" s="38">
        <f>U119</f>
        <v>84946000</v>
      </c>
      <c r="V118" s="82"/>
      <c r="W118" s="82">
        <f t="shared" si="22"/>
        <v>84946000</v>
      </c>
      <c r="X118" s="170">
        <f t="shared" si="23"/>
        <v>8976100</v>
      </c>
      <c r="Y118" s="170"/>
      <c r="Z118" s="170">
        <f t="shared" si="24"/>
        <v>0</v>
      </c>
      <c r="AA118" s="196">
        <f t="shared" si="25"/>
        <v>0.90443037368201951</v>
      </c>
      <c r="AB118" s="3"/>
      <c r="AC118" s="3"/>
      <c r="AD118" s="3"/>
      <c r="AE118" s="3"/>
    </row>
    <row r="119" spans="1:31" ht="37.5" customHeight="1">
      <c r="A119" s="15">
        <v>7</v>
      </c>
      <c r="B119" s="105" t="s">
        <v>19</v>
      </c>
      <c r="C119" s="105" t="s">
        <v>19</v>
      </c>
      <c r="D119" s="16">
        <v>2</v>
      </c>
      <c r="E119" s="105" t="s">
        <v>40</v>
      </c>
      <c r="F119" s="105" t="s">
        <v>22</v>
      </c>
      <c r="G119" s="16">
        <v>5</v>
      </c>
      <c r="H119" s="16">
        <v>1</v>
      </c>
      <c r="I119" s="105" t="s">
        <v>22</v>
      </c>
      <c r="J119" s="106" t="s">
        <v>19</v>
      </c>
      <c r="K119" s="106" t="s">
        <v>19</v>
      </c>
      <c r="L119" s="36"/>
      <c r="M119" s="51"/>
      <c r="N119" s="42" t="s">
        <v>51</v>
      </c>
      <c r="O119" s="53"/>
      <c r="P119" s="38">
        <f>P120</f>
        <v>93922100</v>
      </c>
      <c r="Q119" s="53"/>
      <c r="R119" s="82">
        <f t="shared" si="21"/>
        <v>93922100</v>
      </c>
      <c r="S119" s="38">
        <f>S120</f>
        <v>84946000</v>
      </c>
      <c r="T119" s="82"/>
      <c r="U119" s="38">
        <f>U120</f>
        <v>84946000</v>
      </c>
      <c r="V119" s="82"/>
      <c r="W119" s="82">
        <f t="shared" si="22"/>
        <v>84946000</v>
      </c>
      <c r="X119" s="170">
        <f t="shared" si="23"/>
        <v>8976100</v>
      </c>
      <c r="Y119" s="170"/>
      <c r="Z119" s="170">
        <f t="shared" si="24"/>
        <v>0</v>
      </c>
      <c r="AA119" s="196">
        <f t="shared" si="25"/>
        <v>0.90443037368201951</v>
      </c>
      <c r="AB119" s="3"/>
      <c r="AC119" s="3"/>
      <c r="AD119" s="3"/>
      <c r="AE119" s="3"/>
    </row>
    <row r="120" spans="1:31" ht="37.5" customHeight="1">
      <c r="A120" s="15">
        <v>7</v>
      </c>
      <c r="B120" s="105" t="s">
        <v>19</v>
      </c>
      <c r="C120" s="105" t="s">
        <v>19</v>
      </c>
      <c r="D120" s="16">
        <v>2</v>
      </c>
      <c r="E120" s="105" t="s">
        <v>40</v>
      </c>
      <c r="F120" s="105" t="s">
        <v>22</v>
      </c>
      <c r="G120" s="16">
        <v>5</v>
      </c>
      <c r="H120" s="16">
        <v>1</v>
      </c>
      <c r="I120" s="105" t="s">
        <v>22</v>
      </c>
      <c r="J120" s="106" t="s">
        <v>19</v>
      </c>
      <c r="K120" s="106" t="s">
        <v>19</v>
      </c>
      <c r="L120" s="106" t="s">
        <v>27</v>
      </c>
      <c r="M120" s="108" t="s">
        <v>11</v>
      </c>
      <c r="N120" s="34" t="s">
        <v>94</v>
      </c>
      <c r="O120" s="34"/>
      <c r="P120" s="35">
        <f>'LRA SP2D'!O121</f>
        <v>93922100</v>
      </c>
      <c r="Q120" s="34"/>
      <c r="R120" s="81">
        <f t="shared" si="21"/>
        <v>93922100</v>
      </c>
      <c r="S120" s="81">
        <f>'LRA SP2D'!R121</f>
        <v>84946000</v>
      </c>
      <c r="T120" s="81"/>
      <c r="U120" s="81">
        <f>'LRA SP2D'!U121</f>
        <v>84946000</v>
      </c>
      <c r="V120" s="81"/>
      <c r="W120" s="81">
        <f t="shared" si="22"/>
        <v>84946000</v>
      </c>
      <c r="X120" s="161">
        <f t="shared" si="23"/>
        <v>8976100</v>
      </c>
      <c r="Y120" s="161"/>
      <c r="Z120" s="161">
        <f t="shared" si="24"/>
        <v>0</v>
      </c>
      <c r="AA120" s="199">
        <f t="shared" si="25"/>
        <v>0.90443037368201951</v>
      </c>
      <c r="AB120" s="3"/>
      <c r="AC120" s="3"/>
      <c r="AD120" s="3"/>
      <c r="AE120" s="3"/>
    </row>
    <row r="121" spans="1:31" ht="37.5" customHeight="1">
      <c r="A121" s="11">
        <v>7</v>
      </c>
      <c r="B121" s="104" t="s">
        <v>19</v>
      </c>
      <c r="C121" s="104" t="s">
        <v>19</v>
      </c>
      <c r="D121" s="12">
        <v>2</v>
      </c>
      <c r="E121" s="104" t="s">
        <v>40</v>
      </c>
      <c r="F121" s="104" t="s">
        <v>22</v>
      </c>
      <c r="G121" s="12">
        <v>5</v>
      </c>
      <c r="H121" s="12">
        <v>1</v>
      </c>
      <c r="I121" s="104" t="s">
        <v>22</v>
      </c>
      <c r="J121" s="107" t="s">
        <v>22</v>
      </c>
      <c r="K121" s="36"/>
      <c r="L121" s="36"/>
      <c r="M121" s="51"/>
      <c r="N121" s="53" t="s">
        <v>75</v>
      </c>
      <c r="O121" s="53"/>
      <c r="P121" s="38">
        <f>P122</f>
        <v>14800000</v>
      </c>
      <c r="Q121" s="53"/>
      <c r="R121" s="82">
        <f t="shared" si="21"/>
        <v>14800000</v>
      </c>
      <c r="S121" s="81">
        <f>'LRA SP2D'!R122</f>
        <v>7168400</v>
      </c>
      <c r="T121" s="82"/>
      <c r="U121" s="81">
        <f>'LRA SP2D'!U122</f>
        <v>7485900</v>
      </c>
      <c r="V121" s="82"/>
      <c r="W121" s="82">
        <f t="shared" si="22"/>
        <v>7485900</v>
      </c>
      <c r="X121" s="170">
        <f t="shared" si="23"/>
        <v>7314100</v>
      </c>
      <c r="Y121" s="170">
        <f t="shared" ref="Y121:Y139" si="31">S121-W121</f>
        <v>-317500</v>
      </c>
      <c r="Z121" s="170">
        <f t="shared" si="24"/>
        <v>-317500</v>
      </c>
      <c r="AA121" s="196">
        <f t="shared" si="25"/>
        <v>0.50580405405405404</v>
      </c>
      <c r="AB121" s="3"/>
      <c r="AC121" s="3"/>
      <c r="AD121" s="3"/>
      <c r="AE121" s="3"/>
    </row>
    <row r="122" spans="1:31" ht="37.5" customHeight="1">
      <c r="A122" s="11">
        <v>7</v>
      </c>
      <c r="B122" s="104" t="s">
        <v>19</v>
      </c>
      <c r="C122" s="104" t="s">
        <v>19</v>
      </c>
      <c r="D122" s="12">
        <v>2</v>
      </c>
      <c r="E122" s="104" t="s">
        <v>40</v>
      </c>
      <c r="F122" s="104" t="s">
        <v>22</v>
      </c>
      <c r="G122" s="12">
        <v>5</v>
      </c>
      <c r="H122" s="12">
        <v>1</v>
      </c>
      <c r="I122" s="104" t="s">
        <v>22</v>
      </c>
      <c r="J122" s="107" t="s">
        <v>22</v>
      </c>
      <c r="K122" s="107" t="s">
        <v>19</v>
      </c>
      <c r="L122" s="36"/>
      <c r="M122" s="51"/>
      <c r="N122" s="53" t="s">
        <v>76</v>
      </c>
      <c r="O122" s="53"/>
      <c r="P122" s="38">
        <f>P123+P124</f>
        <v>14800000</v>
      </c>
      <c r="Q122" s="53"/>
      <c r="R122" s="82">
        <f t="shared" si="21"/>
        <v>14800000</v>
      </c>
      <c r="S122" s="81">
        <f>'LRA SP2D'!R123</f>
        <v>7168400</v>
      </c>
      <c r="T122" s="82"/>
      <c r="U122" s="81">
        <f>'LRA SP2D'!U123</f>
        <v>7485900</v>
      </c>
      <c r="V122" s="82"/>
      <c r="W122" s="82">
        <f t="shared" si="22"/>
        <v>7485900</v>
      </c>
      <c r="X122" s="170">
        <f t="shared" si="23"/>
        <v>7314100</v>
      </c>
      <c r="Y122" s="170">
        <f t="shared" si="31"/>
        <v>-317500</v>
      </c>
      <c r="Z122" s="170">
        <f t="shared" si="24"/>
        <v>-317500</v>
      </c>
      <c r="AA122" s="196">
        <f t="shared" si="25"/>
        <v>0.50580405405405404</v>
      </c>
      <c r="AB122" s="3"/>
      <c r="AC122" s="3"/>
      <c r="AD122" s="3"/>
      <c r="AE122" s="3"/>
    </row>
    <row r="123" spans="1:31" ht="37.5" customHeight="1">
      <c r="A123" s="15">
        <v>7</v>
      </c>
      <c r="B123" s="105" t="s">
        <v>19</v>
      </c>
      <c r="C123" s="105" t="s">
        <v>19</v>
      </c>
      <c r="D123" s="16">
        <v>2</v>
      </c>
      <c r="E123" s="105" t="s">
        <v>40</v>
      </c>
      <c r="F123" s="105" t="s">
        <v>22</v>
      </c>
      <c r="G123" s="16">
        <v>5</v>
      </c>
      <c r="H123" s="16">
        <v>1</v>
      </c>
      <c r="I123" s="105" t="s">
        <v>22</v>
      </c>
      <c r="J123" s="106" t="s">
        <v>22</v>
      </c>
      <c r="K123" s="106" t="s">
        <v>19</v>
      </c>
      <c r="L123" s="106" t="s">
        <v>66</v>
      </c>
      <c r="M123" s="108">
        <v>0</v>
      </c>
      <c r="N123" s="34" t="s">
        <v>235</v>
      </c>
      <c r="O123" s="35"/>
      <c r="P123" s="35">
        <f>'LRA SP2D'!O124</f>
        <v>300000</v>
      </c>
      <c r="Q123" s="53"/>
      <c r="R123" s="81">
        <f t="shared" si="21"/>
        <v>300000</v>
      </c>
      <c r="S123" s="81"/>
      <c r="T123" s="82"/>
      <c r="U123" s="81"/>
      <c r="V123" s="82"/>
      <c r="W123" s="82"/>
      <c r="X123" s="161">
        <f t="shared" si="23"/>
        <v>300000</v>
      </c>
      <c r="Y123" s="161">
        <f t="shared" ref="Y123" si="32">S123-W123</f>
        <v>0</v>
      </c>
      <c r="Z123" s="161">
        <f t="shared" ref="Z123" si="33">S123-W123</f>
        <v>0</v>
      </c>
      <c r="AA123" s="199">
        <f t="shared" ref="AA123" si="34">W123/R123*100%</f>
        <v>0</v>
      </c>
      <c r="AB123" s="3"/>
      <c r="AC123" s="3"/>
      <c r="AD123" s="3"/>
      <c r="AE123" s="3"/>
    </row>
    <row r="124" spans="1:31" ht="37.5" customHeight="1">
      <c r="A124" s="15">
        <v>7</v>
      </c>
      <c r="B124" s="105" t="s">
        <v>19</v>
      </c>
      <c r="C124" s="105" t="s">
        <v>19</v>
      </c>
      <c r="D124" s="16">
        <v>2</v>
      </c>
      <c r="E124" s="105" t="s">
        <v>40</v>
      </c>
      <c r="F124" s="105" t="s">
        <v>22</v>
      </c>
      <c r="G124" s="16">
        <v>5</v>
      </c>
      <c r="H124" s="16">
        <v>1</v>
      </c>
      <c r="I124" s="105" t="s">
        <v>22</v>
      </c>
      <c r="J124" s="106" t="s">
        <v>22</v>
      </c>
      <c r="K124" s="106" t="s">
        <v>19</v>
      </c>
      <c r="L124" s="106" t="s">
        <v>78</v>
      </c>
      <c r="M124" s="108" t="s">
        <v>14</v>
      </c>
      <c r="N124" s="34" t="s">
        <v>95</v>
      </c>
      <c r="O124" s="34"/>
      <c r="P124" s="35">
        <f>'LRA SP2D'!O125</f>
        <v>14500000</v>
      </c>
      <c r="Q124" s="34"/>
      <c r="R124" s="81">
        <f t="shared" si="21"/>
        <v>14500000</v>
      </c>
      <c r="S124" s="81">
        <f>'LRA SP2D'!R124</f>
        <v>230000</v>
      </c>
      <c r="T124" s="81"/>
      <c r="U124" s="81">
        <f>'LRA SP2D'!U124</f>
        <v>230000</v>
      </c>
      <c r="V124" s="81"/>
      <c r="W124" s="81">
        <f t="shared" si="22"/>
        <v>230000</v>
      </c>
      <c r="X124" s="161">
        <f t="shared" si="23"/>
        <v>14270000</v>
      </c>
      <c r="Y124" s="161">
        <f t="shared" si="31"/>
        <v>0</v>
      </c>
      <c r="Z124" s="161">
        <f t="shared" si="24"/>
        <v>0</v>
      </c>
      <c r="AA124" s="199">
        <f t="shared" si="25"/>
        <v>1.5862068965517243E-2</v>
      </c>
      <c r="AB124" s="3"/>
      <c r="AC124" s="3"/>
      <c r="AD124" s="3"/>
      <c r="AE124" s="3"/>
    </row>
    <row r="125" spans="1:31" ht="37.5" customHeight="1">
      <c r="A125" s="11">
        <v>7</v>
      </c>
      <c r="B125" s="104" t="s">
        <v>19</v>
      </c>
      <c r="C125" s="104" t="s">
        <v>19</v>
      </c>
      <c r="D125" s="12">
        <v>2</v>
      </c>
      <c r="E125" s="104" t="s">
        <v>40</v>
      </c>
      <c r="F125" s="104" t="s">
        <v>22</v>
      </c>
      <c r="G125" s="12">
        <v>5</v>
      </c>
      <c r="H125" s="12">
        <v>1</v>
      </c>
      <c r="I125" s="104" t="s">
        <v>22</v>
      </c>
      <c r="J125" s="107" t="s">
        <v>30</v>
      </c>
      <c r="K125" s="36"/>
      <c r="L125" s="36"/>
      <c r="M125" s="51"/>
      <c r="N125" s="53" t="s">
        <v>96</v>
      </c>
      <c r="O125" s="53"/>
      <c r="P125" s="38">
        <f>P126</f>
        <v>92100000</v>
      </c>
      <c r="Q125" s="53"/>
      <c r="R125" s="82">
        <f t="shared" si="21"/>
        <v>92100000</v>
      </c>
      <c r="S125" s="82">
        <f>'LRA SP2D'!R126</f>
        <v>73595900</v>
      </c>
      <c r="T125" s="82"/>
      <c r="U125" s="82">
        <f>'LRA SP2D'!U126</f>
        <v>75513900</v>
      </c>
      <c r="V125" s="82"/>
      <c r="W125" s="82">
        <f t="shared" si="22"/>
        <v>75513900</v>
      </c>
      <c r="X125" s="170">
        <f t="shared" si="23"/>
        <v>16586100</v>
      </c>
      <c r="Y125" s="170"/>
      <c r="Z125" s="170">
        <f t="shared" si="24"/>
        <v>-1918000</v>
      </c>
      <c r="AA125" s="196">
        <f t="shared" si="25"/>
        <v>0.81991205211726381</v>
      </c>
      <c r="AB125" s="3"/>
      <c r="AC125" s="3"/>
      <c r="AD125" s="3"/>
      <c r="AE125" s="3"/>
    </row>
    <row r="126" spans="1:31" ht="51" customHeight="1">
      <c r="A126" s="11">
        <v>7</v>
      </c>
      <c r="B126" s="104" t="s">
        <v>19</v>
      </c>
      <c r="C126" s="104" t="s">
        <v>19</v>
      </c>
      <c r="D126" s="12">
        <v>2</v>
      </c>
      <c r="E126" s="104" t="s">
        <v>40</v>
      </c>
      <c r="F126" s="104" t="s">
        <v>22</v>
      </c>
      <c r="G126" s="12">
        <v>5</v>
      </c>
      <c r="H126" s="12">
        <v>1</v>
      </c>
      <c r="I126" s="104" t="s">
        <v>22</v>
      </c>
      <c r="J126" s="107" t="s">
        <v>30</v>
      </c>
      <c r="K126" s="107" t="s">
        <v>22</v>
      </c>
      <c r="L126" s="36"/>
      <c r="M126" s="51"/>
      <c r="N126" s="37" t="s">
        <v>97</v>
      </c>
      <c r="O126" s="53"/>
      <c r="P126" s="38">
        <f>P127</f>
        <v>92100000</v>
      </c>
      <c r="Q126" s="53"/>
      <c r="R126" s="82">
        <f t="shared" si="21"/>
        <v>92100000</v>
      </c>
      <c r="S126" s="82">
        <f>'LRA SP2D'!R127</f>
        <v>73595900</v>
      </c>
      <c r="T126" s="82"/>
      <c r="U126" s="82">
        <f>'LRA SP2D'!U127</f>
        <v>75513900</v>
      </c>
      <c r="V126" s="82"/>
      <c r="W126" s="82">
        <f t="shared" si="22"/>
        <v>75513900</v>
      </c>
      <c r="X126" s="170">
        <f t="shared" si="23"/>
        <v>16586100</v>
      </c>
      <c r="Y126" s="170"/>
      <c r="Z126" s="170">
        <f t="shared" si="24"/>
        <v>-1918000</v>
      </c>
      <c r="AA126" s="196">
        <f t="shared" si="25"/>
        <v>0.81991205211726381</v>
      </c>
      <c r="AB126" s="3"/>
      <c r="AC126" s="3"/>
      <c r="AD126" s="3"/>
      <c r="AE126" s="3"/>
    </row>
    <row r="127" spans="1:31" ht="66.75" customHeight="1">
      <c r="A127" s="15">
        <v>7</v>
      </c>
      <c r="B127" s="105" t="s">
        <v>19</v>
      </c>
      <c r="C127" s="105" t="s">
        <v>19</v>
      </c>
      <c r="D127" s="16">
        <v>2</v>
      </c>
      <c r="E127" s="105" t="s">
        <v>40</v>
      </c>
      <c r="F127" s="105" t="s">
        <v>22</v>
      </c>
      <c r="G127" s="16">
        <v>5</v>
      </c>
      <c r="H127" s="16">
        <v>1</v>
      </c>
      <c r="I127" s="105" t="s">
        <v>22</v>
      </c>
      <c r="J127" s="106" t="s">
        <v>30</v>
      </c>
      <c r="K127" s="106" t="s">
        <v>22</v>
      </c>
      <c r="L127" s="106" t="s">
        <v>52</v>
      </c>
      <c r="M127" s="108" t="s">
        <v>12</v>
      </c>
      <c r="N127" s="39" t="s">
        <v>98</v>
      </c>
      <c r="O127" s="34"/>
      <c r="P127" s="35">
        <f>'LRA SP2D'!O128</f>
        <v>92100000</v>
      </c>
      <c r="Q127" s="34"/>
      <c r="R127" s="81">
        <f t="shared" si="21"/>
        <v>92100000</v>
      </c>
      <c r="S127" s="81">
        <f>'LRA SP2D'!R128</f>
        <v>73595900</v>
      </c>
      <c r="T127" s="81"/>
      <c r="U127" s="81">
        <f>'LRA SP2D'!U128</f>
        <v>75513900</v>
      </c>
      <c r="V127" s="81"/>
      <c r="W127" s="81">
        <f t="shared" si="22"/>
        <v>75513900</v>
      </c>
      <c r="X127" s="161">
        <f t="shared" si="23"/>
        <v>16586100</v>
      </c>
      <c r="Y127" s="161"/>
      <c r="Z127" s="161">
        <f t="shared" si="24"/>
        <v>-1918000</v>
      </c>
      <c r="AA127" s="199">
        <f t="shared" si="25"/>
        <v>0.81991205211726381</v>
      </c>
      <c r="AB127" s="3"/>
      <c r="AC127" s="3"/>
      <c r="AD127" s="3"/>
      <c r="AE127" s="3"/>
    </row>
    <row r="128" spans="1:31" ht="16.3">
      <c r="A128" s="15"/>
      <c r="B128" s="16"/>
      <c r="C128" s="16"/>
      <c r="D128" s="16"/>
      <c r="E128" s="16"/>
      <c r="F128" s="16"/>
      <c r="G128" s="16"/>
      <c r="H128" s="16"/>
      <c r="I128" s="16"/>
      <c r="J128" s="36"/>
      <c r="K128" s="36"/>
      <c r="L128" s="36"/>
      <c r="M128" s="51"/>
      <c r="N128" s="39"/>
      <c r="O128" s="34"/>
      <c r="P128" s="34"/>
      <c r="Q128" s="34"/>
      <c r="R128" s="81"/>
      <c r="S128" s="34"/>
      <c r="T128" s="81"/>
      <c r="U128" s="81"/>
      <c r="V128" s="81"/>
      <c r="W128" s="81"/>
      <c r="X128" s="161"/>
      <c r="Y128" s="161"/>
      <c r="Z128" s="161"/>
      <c r="AA128" s="199"/>
      <c r="AB128" s="3"/>
      <c r="AC128" s="3"/>
      <c r="AD128" s="3"/>
      <c r="AE128" s="3"/>
    </row>
    <row r="129" spans="1:31" ht="25.5" customHeight="1">
      <c r="A129" s="13">
        <v>7</v>
      </c>
      <c r="B129" s="103" t="s">
        <v>19</v>
      </c>
      <c r="C129" s="103" t="s">
        <v>19</v>
      </c>
      <c r="D129" s="14">
        <v>2</v>
      </c>
      <c r="E129" s="103" t="s">
        <v>40</v>
      </c>
      <c r="F129" s="103" t="s">
        <v>34</v>
      </c>
      <c r="G129" s="14"/>
      <c r="H129" s="14"/>
      <c r="I129" s="14"/>
      <c r="J129" s="14"/>
      <c r="K129" s="14"/>
      <c r="L129" s="14"/>
      <c r="M129" s="30"/>
      <c r="N129" s="41" t="s">
        <v>99</v>
      </c>
      <c r="O129" s="164"/>
      <c r="P129" s="141">
        <f>P130</f>
        <v>87952500</v>
      </c>
      <c r="Q129" s="164"/>
      <c r="R129" s="165">
        <f t="shared" si="21"/>
        <v>87952500</v>
      </c>
      <c r="S129" s="141">
        <f>S130</f>
        <v>56654500</v>
      </c>
      <c r="T129" s="165"/>
      <c r="U129" s="141">
        <f>U130</f>
        <v>58334500</v>
      </c>
      <c r="V129" s="165"/>
      <c r="W129" s="165">
        <f t="shared" si="22"/>
        <v>58334500</v>
      </c>
      <c r="X129" s="168">
        <f t="shared" si="23"/>
        <v>29618000</v>
      </c>
      <c r="Y129" s="168"/>
      <c r="Z129" s="168">
        <f t="shared" si="24"/>
        <v>-1680000</v>
      </c>
      <c r="AA129" s="198">
        <f t="shared" si="25"/>
        <v>0.66325004974275892</v>
      </c>
      <c r="AB129" s="3"/>
      <c r="AC129" s="3"/>
      <c r="AD129" s="3"/>
      <c r="AE129" s="3"/>
    </row>
    <row r="130" spans="1:31" ht="42" customHeight="1">
      <c r="A130" s="11">
        <v>7</v>
      </c>
      <c r="B130" s="104" t="s">
        <v>19</v>
      </c>
      <c r="C130" s="104" t="s">
        <v>19</v>
      </c>
      <c r="D130" s="12">
        <v>2</v>
      </c>
      <c r="E130" s="104" t="s">
        <v>40</v>
      </c>
      <c r="F130" s="104" t="s">
        <v>34</v>
      </c>
      <c r="G130" s="12">
        <v>5</v>
      </c>
      <c r="H130" s="12">
        <v>1</v>
      </c>
      <c r="I130" s="104" t="s">
        <v>22</v>
      </c>
      <c r="J130" s="50"/>
      <c r="K130" s="36"/>
      <c r="L130" s="36"/>
      <c r="M130" s="51"/>
      <c r="N130" s="53" t="s">
        <v>49</v>
      </c>
      <c r="O130" s="53"/>
      <c r="P130" s="38">
        <f>P131+P135</f>
        <v>87952500</v>
      </c>
      <c r="Q130" s="53"/>
      <c r="R130" s="82">
        <f t="shared" si="21"/>
        <v>87952500</v>
      </c>
      <c r="S130" s="38">
        <f>S131+S135</f>
        <v>56654500</v>
      </c>
      <c r="T130" s="82"/>
      <c r="U130" s="38">
        <f>U131+U135</f>
        <v>58334500</v>
      </c>
      <c r="V130" s="82"/>
      <c r="W130" s="82">
        <f>T130+U130+V130</f>
        <v>58334500</v>
      </c>
      <c r="X130" s="170">
        <f t="shared" si="23"/>
        <v>29618000</v>
      </c>
      <c r="Y130" s="170"/>
      <c r="Z130" s="170">
        <f t="shared" si="24"/>
        <v>-1680000</v>
      </c>
      <c r="AA130" s="196">
        <f t="shared" si="25"/>
        <v>0.66325004974275892</v>
      </c>
      <c r="AB130" s="3"/>
      <c r="AC130" s="3"/>
      <c r="AD130" s="3"/>
      <c r="AE130" s="3"/>
    </row>
    <row r="131" spans="1:31" ht="42" customHeight="1">
      <c r="A131" s="11">
        <v>7</v>
      </c>
      <c r="B131" s="104" t="s">
        <v>19</v>
      </c>
      <c r="C131" s="104" t="s">
        <v>19</v>
      </c>
      <c r="D131" s="12">
        <v>2</v>
      </c>
      <c r="E131" s="104" t="s">
        <v>40</v>
      </c>
      <c r="F131" s="104" t="s">
        <v>34</v>
      </c>
      <c r="G131" s="12">
        <v>5</v>
      </c>
      <c r="H131" s="12">
        <v>1</v>
      </c>
      <c r="I131" s="104" t="s">
        <v>22</v>
      </c>
      <c r="J131" s="50"/>
      <c r="K131" s="36"/>
      <c r="L131" s="36"/>
      <c r="M131" s="51"/>
      <c r="N131" s="53" t="s">
        <v>65</v>
      </c>
      <c r="O131" s="170">
        <f>O132</f>
        <v>0</v>
      </c>
      <c r="P131" s="170">
        <f t="shared" ref="P131:R131" si="35">P132</f>
        <v>792500</v>
      </c>
      <c r="Q131" s="170">
        <f t="shared" si="35"/>
        <v>0</v>
      </c>
      <c r="R131" s="170">
        <f t="shared" si="35"/>
        <v>792500</v>
      </c>
      <c r="S131" s="38">
        <f>S132</f>
        <v>790000</v>
      </c>
      <c r="T131" s="82">
        <f>T132</f>
        <v>0</v>
      </c>
      <c r="U131" s="82">
        <f t="shared" ref="U131:V131" si="36">U132</f>
        <v>790000</v>
      </c>
      <c r="V131" s="82">
        <f t="shared" si="36"/>
        <v>0</v>
      </c>
      <c r="W131" s="82">
        <f>SUM(T131:V131)</f>
        <v>790000</v>
      </c>
      <c r="X131" s="161">
        <f t="shared" ref="X131:X134" si="37">R131-W131</f>
        <v>2500</v>
      </c>
      <c r="Y131" s="161">
        <f t="shared" ref="Y131:Y134" si="38">S131-W131</f>
        <v>0</v>
      </c>
      <c r="Z131" s="161">
        <f t="shared" ref="Z131:Z134" si="39">S131-W131</f>
        <v>0</v>
      </c>
      <c r="AA131" s="199">
        <f t="shared" ref="AA131:AA134" si="40">W131/R131*100%</f>
        <v>0.99684542586750791</v>
      </c>
      <c r="AB131" s="3"/>
      <c r="AC131" s="3"/>
      <c r="AD131" s="3"/>
      <c r="AE131" s="3"/>
    </row>
    <row r="132" spans="1:31" ht="42" customHeight="1">
      <c r="A132" s="288">
        <v>7</v>
      </c>
      <c r="B132" s="302" t="s">
        <v>19</v>
      </c>
      <c r="C132" s="302" t="s">
        <v>19</v>
      </c>
      <c r="D132" s="289">
        <v>2</v>
      </c>
      <c r="E132" s="302" t="s">
        <v>40</v>
      </c>
      <c r="F132" s="302" t="s">
        <v>34</v>
      </c>
      <c r="G132" s="289">
        <v>5</v>
      </c>
      <c r="H132" s="289">
        <v>1</v>
      </c>
      <c r="I132" s="302" t="s">
        <v>22</v>
      </c>
      <c r="J132" s="328" t="s">
        <v>19</v>
      </c>
      <c r="K132" s="328" t="s">
        <v>19</v>
      </c>
      <c r="L132" s="315"/>
      <c r="M132" s="326"/>
      <c r="N132" s="323" t="s">
        <v>131</v>
      </c>
      <c r="O132" s="82">
        <f>SUM(O133:O134)</f>
        <v>0</v>
      </c>
      <c r="P132" s="82">
        <f t="shared" ref="P132:R132" si="41">SUM(P133:P134)</f>
        <v>792500</v>
      </c>
      <c r="Q132" s="82">
        <f t="shared" si="41"/>
        <v>0</v>
      </c>
      <c r="R132" s="82">
        <f t="shared" si="41"/>
        <v>792500</v>
      </c>
      <c r="S132" s="38">
        <f>S133+S134</f>
        <v>790000</v>
      </c>
      <c r="T132" s="82"/>
      <c r="U132" s="38">
        <f>S132</f>
        <v>790000</v>
      </c>
      <c r="V132" s="82"/>
      <c r="W132" s="82">
        <f>SUM(T132:V132)</f>
        <v>790000</v>
      </c>
      <c r="X132" s="161">
        <f t="shared" si="37"/>
        <v>2500</v>
      </c>
      <c r="Y132" s="161">
        <f t="shared" si="38"/>
        <v>0</v>
      </c>
      <c r="Z132" s="161">
        <f t="shared" si="39"/>
        <v>0</v>
      </c>
      <c r="AA132" s="199">
        <f t="shared" si="40"/>
        <v>0.99684542586750791</v>
      </c>
      <c r="AB132" s="3"/>
      <c r="AC132" s="3"/>
      <c r="AD132" s="3"/>
      <c r="AE132" s="3"/>
    </row>
    <row r="133" spans="1:31" ht="42" customHeight="1">
      <c r="A133" s="305">
        <v>7</v>
      </c>
      <c r="B133" s="306" t="s">
        <v>19</v>
      </c>
      <c r="C133" s="306" t="s">
        <v>19</v>
      </c>
      <c r="D133" s="307">
        <v>2</v>
      </c>
      <c r="E133" s="306" t="s">
        <v>40</v>
      </c>
      <c r="F133" s="306" t="s">
        <v>34</v>
      </c>
      <c r="G133" s="307">
        <v>5</v>
      </c>
      <c r="H133" s="307">
        <v>1</v>
      </c>
      <c r="I133" s="306" t="s">
        <v>22</v>
      </c>
      <c r="J133" s="314" t="s">
        <v>19</v>
      </c>
      <c r="K133" s="314" t="s">
        <v>19</v>
      </c>
      <c r="L133" s="314" t="s">
        <v>27</v>
      </c>
      <c r="M133" s="326">
        <v>4</v>
      </c>
      <c r="N133" s="309" t="s">
        <v>255</v>
      </c>
      <c r="O133" s="53"/>
      <c r="P133" s="35">
        <f>'LRA SP2D'!O134</f>
        <v>392500</v>
      </c>
      <c r="Q133" s="53"/>
      <c r="R133" s="81">
        <f>SUM(O133:Q133)</f>
        <v>392500</v>
      </c>
      <c r="S133" s="35">
        <f>'LRA SP2D'!R134</f>
        <v>390000</v>
      </c>
      <c r="T133" s="81"/>
      <c r="U133" s="35">
        <f>S133</f>
        <v>390000</v>
      </c>
      <c r="V133" s="81"/>
      <c r="W133" s="81">
        <f>SUM(T133:V133)</f>
        <v>390000</v>
      </c>
      <c r="X133" s="161">
        <f t="shared" si="37"/>
        <v>2500</v>
      </c>
      <c r="Y133" s="161">
        <f t="shared" si="38"/>
        <v>0</v>
      </c>
      <c r="Z133" s="161">
        <f t="shared" si="39"/>
        <v>0</v>
      </c>
      <c r="AA133" s="199">
        <f t="shared" si="40"/>
        <v>0.99363057324840764</v>
      </c>
      <c r="AB133" s="3"/>
      <c r="AC133" s="3"/>
      <c r="AD133" s="3"/>
      <c r="AE133" s="3"/>
    </row>
    <row r="134" spans="1:31" ht="42" customHeight="1">
      <c r="A134" s="305">
        <v>7</v>
      </c>
      <c r="B134" s="306" t="s">
        <v>19</v>
      </c>
      <c r="C134" s="306" t="s">
        <v>19</v>
      </c>
      <c r="D134" s="307">
        <v>2</v>
      </c>
      <c r="E134" s="306" t="s">
        <v>40</v>
      </c>
      <c r="F134" s="306" t="s">
        <v>34</v>
      </c>
      <c r="G134" s="307">
        <v>5</v>
      </c>
      <c r="H134" s="307">
        <v>1</v>
      </c>
      <c r="I134" s="306" t="s">
        <v>22</v>
      </c>
      <c r="J134" s="314" t="s">
        <v>19</v>
      </c>
      <c r="K134" s="314" t="s">
        <v>19</v>
      </c>
      <c r="L134" s="314" t="s">
        <v>171</v>
      </c>
      <c r="M134" s="326">
        <v>0</v>
      </c>
      <c r="N134" s="309" t="s">
        <v>172</v>
      </c>
      <c r="O134" s="53"/>
      <c r="P134" s="35">
        <f>'LRA SP2D'!O135</f>
        <v>400000</v>
      </c>
      <c r="Q134" s="53"/>
      <c r="R134" s="81">
        <f>SUM(O134:Q134)</f>
        <v>400000</v>
      </c>
      <c r="S134" s="35">
        <f>U134</f>
        <v>400000</v>
      </c>
      <c r="T134" s="81"/>
      <c r="U134" s="35">
        <f>'LRA SP2D'!U135</f>
        <v>400000</v>
      </c>
      <c r="V134" s="81"/>
      <c r="W134" s="81">
        <f>SUM(T134:V134)</f>
        <v>400000</v>
      </c>
      <c r="X134" s="161">
        <f t="shared" si="37"/>
        <v>0</v>
      </c>
      <c r="Y134" s="161">
        <f t="shared" si="38"/>
        <v>0</v>
      </c>
      <c r="Z134" s="161">
        <f t="shared" si="39"/>
        <v>0</v>
      </c>
      <c r="AA134" s="199">
        <f t="shared" si="40"/>
        <v>1</v>
      </c>
      <c r="AB134" s="3"/>
      <c r="AC134" s="3"/>
      <c r="AD134" s="3"/>
      <c r="AE134" s="3"/>
    </row>
    <row r="135" spans="1:31" ht="42" customHeight="1">
      <c r="A135" s="11">
        <v>7</v>
      </c>
      <c r="B135" s="104" t="s">
        <v>19</v>
      </c>
      <c r="C135" s="104" t="s">
        <v>19</v>
      </c>
      <c r="D135" s="12">
        <v>2</v>
      </c>
      <c r="E135" s="104" t="s">
        <v>40</v>
      </c>
      <c r="F135" s="104" t="s">
        <v>34</v>
      </c>
      <c r="G135" s="12">
        <v>5</v>
      </c>
      <c r="H135" s="12">
        <v>1</v>
      </c>
      <c r="I135" s="104" t="s">
        <v>22</v>
      </c>
      <c r="J135" s="107" t="s">
        <v>30</v>
      </c>
      <c r="K135" s="36"/>
      <c r="L135" s="36"/>
      <c r="M135" s="51"/>
      <c r="N135" s="53" t="s">
        <v>96</v>
      </c>
      <c r="O135" s="53"/>
      <c r="P135" s="38">
        <f>P136</f>
        <v>87160000</v>
      </c>
      <c r="Q135" s="53"/>
      <c r="R135" s="82">
        <f t="shared" si="21"/>
        <v>87160000</v>
      </c>
      <c r="S135" s="38">
        <f>S136</f>
        <v>55864500</v>
      </c>
      <c r="T135" s="82"/>
      <c r="U135" s="38">
        <f>U136</f>
        <v>57544500</v>
      </c>
      <c r="V135" s="82"/>
      <c r="W135" s="82">
        <f t="shared" si="22"/>
        <v>57544500</v>
      </c>
      <c r="X135" s="170">
        <f t="shared" si="23"/>
        <v>29615500</v>
      </c>
      <c r="Y135" s="170">
        <f t="shared" si="31"/>
        <v>-1680000</v>
      </c>
      <c r="Z135" s="170">
        <f t="shared" si="24"/>
        <v>-1680000</v>
      </c>
      <c r="AA135" s="196">
        <f t="shared" si="25"/>
        <v>0.66021684258834323</v>
      </c>
      <c r="AB135" s="3"/>
      <c r="AC135" s="3"/>
      <c r="AD135" s="3"/>
      <c r="AE135" s="3"/>
    </row>
    <row r="136" spans="1:31" ht="60.75" customHeight="1">
      <c r="A136" s="11">
        <v>7</v>
      </c>
      <c r="B136" s="104" t="s">
        <v>19</v>
      </c>
      <c r="C136" s="104" t="s">
        <v>19</v>
      </c>
      <c r="D136" s="12">
        <v>2</v>
      </c>
      <c r="E136" s="104" t="s">
        <v>40</v>
      </c>
      <c r="F136" s="104" t="s">
        <v>34</v>
      </c>
      <c r="G136" s="12">
        <v>5</v>
      </c>
      <c r="H136" s="12">
        <v>1</v>
      </c>
      <c r="I136" s="104" t="s">
        <v>22</v>
      </c>
      <c r="J136" s="107" t="s">
        <v>30</v>
      </c>
      <c r="K136" s="107" t="s">
        <v>22</v>
      </c>
      <c r="L136" s="36"/>
      <c r="M136" s="51"/>
      <c r="N136" s="37" t="s">
        <v>97</v>
      </c>
      <c r="O136" s="53"/>
      <c r="P136" s="38">
        <f>SUM(P137:P141)</f>
        <v>87160000</v>
      </c>
      <c r="Q136" s="53"/>
      <c r="R136" s="82">
        <f t="shared" si="21"/>
        <v>87160000</v>
      </c>
      <c r="S136" s="38">
        <f>SUM(S137:S141)</f>
        <v>55864500</v>
      </c>
      <c r="T136" s="82"/>
      <c r="U136" s="38">
        <f>SUM(U137:U141)</f>
        <v>57544500</v>
      </c>
      <c r="V136" s="82"/>
      <c r="W136" s="82">
        <f t="shared" si="22"/>
        <v>57544500</v>
      </c>
      <c r="X136" s="170">
        <f t="shared" si="23"/>
        <v>29615500</v>
      </c>
      <c r="Y136" s="170">
        <f t="shared" si="31"/>
        <v>-1680000</v>
      </c>
      <c r="Z136" s="170">
        <f t="shared" si="24"/>
        <v>-1680000</v>
      </c>
      <c r="AA136" s="196">
        <f t="shared" si="25"/>
        <v>0.66021684258834323</v>
      </c>
      <c r="AB136" s="3"/>
      <c r="AC136" s="3"/>
      <c r="AD136" s="3"/>
      <c r="AE136" s="3"/>
    </row>
    <row r="137" spans="1:31" ht="54" customHeight="1">
      <c r="A137" s="15">
        <v>7</v>
      </c>
      <c r="B137" s="105" t="s">
        <v>19</v>
      </c>
      <c r="C137" s="105" t="s">
        <v>19</v>
      </c>
      <c r="D137" s="16">
        <v>2</v>
      </c>
      <c r="E137" s="105" t="s">
        <v>40</v>
      </c>
      <c r="F137" s="105" t="s">
        <v>34</v>
      </c>
      <c r="G137" s="16">
        <v>5</v>
      </c>
      <c r="H137" s="16">
        <v>1</v>
      </c>
      <c r="I137" s="105" t="s">
        <v>22</v>
      </c>
      <c r="J137" s="106" t="s">
        <v>30</v>
      </c>
      <c r="K137" s="106" t="s">
        <v>22</v>
      </c>
      <c r="L137" s="106" t="s">
        <v>100</v>
      </c>
      <c r="M137" s="51">
        <v>7</v>
      </c>
      <c r="N137" s="39" t="s">
        <v>175</v>
      </c>
      <c r="O137" s="34"/>
      <c r="P137" s="35">
        <f>'LRA SP2D'!O138</f>
        <v>10000000</v>
      </c>
      <c r="Q137" s="34"/>
      <c r="R137" s="81">
        <f t="shared" si="21"/>
        <v>10000000</v>
      </c>
      <c r="S137" s="81">
        <f>U137</f>
        <v>9995500</v>
      </c>
      <c r="T137" s="81"/>
      <c r="U137" s="81">
        <f>'LRA SP2D'!U138</f>
        <v>9995500</v>
      </c>
      <c r="V137" s="81"/>
      <c r="W137" s="81">
        <f t="shared" si="22"/>
        <v>9995500</v>
      </c>
      <c r="X137" s="161">
        <f t="shared" si="23"/>
        <v>4500</v>
      </c>
      <c r="Y137" s="161">
        <f t="shared" si="31"/>
        <v>0</v>
      </c>
      <c r="Z137" s="161">
        <f t="shared" si="24"/>
        <v>0</v>
      </c>
      <c r="AA137" s="199">
        <f t="shared" si="25"/>
        <v>0.99955000000000005</v>
      </c>
      <c r="AB137" s="3"/>
      <c r="AC137" s="3"/>
      <c r="AD137" s="3"/>
      <c r="AE137" s="3"/>
    </row>
    <row r="138" spans="1:31" ht="42" customHeight="1">
      <c r="A138" s="305">
        <v>7</v>
      </c>
      <c r="B138" s="306" t="s">
        <v>19</v>
      </c>
      <c r="C138" s="306" t="s">
        <v>19</v>
      </c>
      <c r="D138" s="307">
        <v>2</v>
      </c>
      <c r="E138" s="306" t="s">
        <v>40</v>
      </c>
      <c r="F138" s="306" t="s">
        <v>34</v>
      </c>
      <c r="G138" s="307">
        <v>5</v>
      </c>
      <c r="H138" s="307">
        <v>1</v>
      </c>
      <c r="I138" s="306" t="s">
        <v>22</v>
      </c>
      <c r="J138" s="314" t="s">
        <v>30</v>
      </c>
      <c r="K138" s="314" t="s">
        <v>22</v>
      </c>
      <c r="L138" s="314" t="s">
        <v>100</v>
      </c>
      <c r="M138" s="326">
        <v>8</v>
      </c>
      <c r="N138" s="318" t="s">
        <v>256</v>
      </c>
      <c r="O138" s="34"/>
      <c r="P138" s="35">
        <f>'LRA SP2D'!O139</f>
        <v>2000000</v>
      </c>
      <c r="Q138" s="34"/>
      <c r="R138" s="81">
        <f t="shared" si="21"/>
        <v>2000000</v>
      </c>
      <c r="S138" s="81">
        <f>'LRA SP2D'!R139</f>
        <v>1000000</v>
      </c>
      <c r="T138" s="81"/>
      <c r="U138" s="81">
        <f>'LRA SP2D'!U139</f>
        <v>1000000</v>
      </c>
      <c r="V138" s="81"/>
      <c r="W138" s="81">
        <f t="shared" si="22"/>
        <v>1000000</v>
      </c>
      <c r="X138" s="161">
        <f t="shared" si="23"/>
        <v>1000000</v>
      </c>
      <c r="Y138" s="161">
        <f t="shared" si="31"/>
        <v>0</v>
      </c>
      <c r="Z138" s="161">
        <f t="shared" si="24"/>
        <v>0</v>
      </c>
      <c r="AA138" s="199">
        <f t="shared" si="25"/>
        <v>0.5</v>
      </c>
      <c r="AB138" s="3"/>
      <c r="AC138" s="3"/>
      <c r="AD138" s="3"/>
      <c r="AE138" s="3"/>
    </row>
    <row r="139" spans="1:31" ht="60.75" customHeight="1">
      <c r="A139" s="15">
        <v>7</v>
      </c>
      <c r="B139" s="105" t="s">
        <v>19</v>
      </c>
      <c r="C139" s="105" t="s">
        <v>19</v>
      </c>
      <c r="D139" s="16">
        <v>2</v>
      </c>
      <c r="E139" s="105" t="s">
        <v>40</v>
      </c>
      <c r="F139" s="105" t="s">
        <v>34</v>
      </c>
      <c r="G139" s="16">
        <v>5</v>
      </c>
      <c r="H139" s="16">
        <v>1</v>
      </c>
      <c r="I139" s="105" t="s">
        <v>22</v>
      </c>
      <c r="J139" s="106" t="s">
        <v>30</v>
      </c>
      <c r="K139" s="106" t="s">
        <v>22</v>
      </c>
      <c r="L139" s="106" t="s">
        <v>101</v>
      </c>
      <c r="M139" s="51">
        <v>5</v>
      </c>
      <c r="N139" s="39" t="s">
        <v>102</v>
      </c>
      <c r="O139" s="34"/>
      <c r="P139" s="35">
        <f>'LRA SP2D'!O140</f>
        <v>6600000</v>
      </c>
      <c r="Q139" s="34"/>
      <c r="R139" s="81">
        <f t="shared" si="21"/>
        <v>6600000</v>
      </c>
      <c r="S139" s="81">
        <f>'LRA SP2D'!R140</f>
        <v>3774000</v>
      </c>
      <c r="T139" s="81"/>
      <c r="U139" s="81">
        <f>'LRA SP2D'!U140</f>
        <v>3774000</v>
      </c>
      <c r="V139" s="81"/>
      <c r="W139" s="81">
        <f t="shared" si="22"/>
        <v>3774000</v>
      </c>
      <c r="X139" s="161">
        <f t="shared" si="23"/>
        <v>2826000</v>
      </c>
      <c r="Y139" s="161">
        <f t="shared" si="31"/>
        <v>0</v>
      </c>
      <c r="Z139" s="161">
        <f t="shared" si="24"/>
        <v>0</v>
      </c>
      <c r="AA139" s="199">
        <f t="shared" si="25"/>
        <v>0.57181818181818178</v>
      </c>
      <c r="AB139" s="3"/>
      <c r="AC139" s="3"/>
      <c r="AD139" s="3"/>
      <c r="AE139" s="3"/>
    </row>
    <row r="140" spans="1:31" ht="42" customHeight="1">
      <c r="A140" s="15">
        <v>7</v>
      </c>
      <c r="B140" s="105" t="s">
        <v>19</v>
      </c>
      <c r="C140" s="105" t="s">
        <v>19</v>
      </c>
      <c r="D140" s="16">
        <v>2</v>
      </c>
      <c r="E140" s="105" t="s">
        <v>40</v>
      </c>
      <c r="F140" s="105" t="s">
        <v>34</v>
      </c>
      <c r="G140" s="16">
        <v>5</v>
      </c>
      <c r="H140" s="16">
        <v>1</v>
      </c>
      <c r="I140" s="105" t="s">
        <v>22</v>
      </c>
      <c r="J140" s="106" t="s">
        <v>30</v>
      </c>
      <c r="K140" s="106" t="s">
        <v>22</v>
      </c>
      <c r="L140" s="106" t="s">
        <v>103</v>
      </c>
      <c r="M140" s="51">
        <v>5</v>
      </c>
      <c r="N140" s="39" t="s">
        <v>104</v>
      </c>
      <c r="O140" s="34"/>
      <c r="P140" s="35">
        <f>'LRA SP2D'!O141</f>
        <v>42340000</v>
      </c>
      <c r="Q140" s="34"/>
      <c r="R140" s="81">
        <f t="shared" si="21"/>
        <v>42340000</v>
      </c>
      <c r="S140" s="81">
        <f>'LRA SP2D'!R141</f>
        <v>28160000</v>
      </c>
      <c r="T140" s="81"/>
      <c r="U140" s="81">
        <f>'LRA SP2D'!U141</f>
        <v>29190000</v>
      </c>
      <c r="V140" s="81"/>
      <c r="W140" s="81">
        <f t="shared" si="22"/>
        <v>29190000</v>
      </c>
      <c r="X140" s="161">
        <f t="shared" si="23"/>
        <v>13150000</v>
      </c>
      <c r="Y140" s="161"/>
      <c r="Z140" s="161">
        <f t="shared" si="24"/>
        <v>-1030000</v>
      </c>
      <c r="AA140" s="199">
        <f t="shared" si="25"/>
        <v>0.6894189891355692</v>
      </c>
      <c r="AB140" s="3"/>
      <c r="AC140" s="3"/>
      <c r="AD140" s="3"/>
      <c r="AE140" s="3"/>
    </row>
    <row r="141" spans="1:31" ht="42" customHeight="1">
      <c r="A141" s="15">
        <v>7</v>
      </c>
      <c r="B141" s="105" t="s">
        <v>19</v>
      </c>
      <c r="C141" s="105" t="s">
        <v>19</v>
      </c>
      <c r="D141" s="16">
        <v>2</v>
      </c>
      <c r="E141" s="105" t="s">
        <v>40</v>
      </c>
      <c r="F141" s="105" t="s">
        <v>34</v>
      </c>
      <c r="G141" s="16">
        <v>5</v>
      </c>
      <c r="H141" s="16">
        <v>1</v>
      </c>
      <c r="I141" s="105" t="s">
        <v>22</v>
      </c>
      <c r="J141" s="106" t="s">
        <v>30</v>
      </c>
      <c r="K141" s="106" t="s">
        <v>22</v>
      </c>
      <c r="L141" s="106" t="s">
        <v>103</v>
      </c>
      <c r="M141" s="108" t="s">
        <v>105</v>
      </c>
      <c r="N141" s="39" t="s">
        <v>106</v>
      </c>
      <c r="O141" s="34"/>
      <c r="P141" s="35">
        <f>'LRA SP2D'!O142</f>
        <v>26220000</v>
      </c>
      <c r="Q141" s="34"/>
      <c r="R141" s="81">
        <f t="shared" si="21"/>
        <v>26220000</v>
      </c>
      <c r="S141" s="81">
        <f>'LRA SP2D'!R142</f>
        <v>12935000</v>
      </c>
      <c r="T141" s="81"/>
      <c r="U141" s="81">
        <f>'LRA SP2D'!U142</f>
        <v>13585000</v>
      </c>
      <c r="V141" s="81"/>
      <c r="W141" s="81">
        <f t="shared" si="22"/>
        <v>13585000</v>
      </c>
      <c r="X141" s="161">
        <f t="shared" si="23"/>
        <v>12635000</v>
      </c>
      <c r="Y141" s="161"/>
      <c r="Z141" s="161">
        <f t="shared" si="24"/>
        <v>-650000</v>
      </c>
      <c r="AA141" s="199">
        <f t="shared" si="25"/>
        <v>0.51811594202898548</v>
      </c>
      <c r="AB141" s="3"/>
      <c r="AC141" s="3"/>
      <c r="AD141" s="3"/>
      <c r="AE141" s="3"/>
    </row>
    <row r="142" spans="1:31" ht="16.3">
      <c r="A142" s="4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51"/>
      <c r="N142" s="34"/>
      <c r="O142" s="34"/>
      <c r="P142" s="34"/>
      <c r="Q142" s="34"/>
      <c r="R142" s="81"/>
      <c r="S142" s="34"/>
      <c r="T142" s="81"/>
      <c r="U142" s="81"/>
      <c r="V142" s="81"/>
      <c r="W142" s="81"/>
      <c r="X142" s="161"/>
      <c r="Y142" s="161"/>
      <c r="Z142" s="161"/>
      <c r="AA142" s="199"/>
      <c r="AB142" s="3"/>
      <c r="AC142" s="3"/>
      <c r="AD142" s="3"/>
      <c r="AE142" s="3"/>
    </row>
    <row r="143" spans="1:31" ht="51.75" customHeight="1">
      <c r="A143" s="13">
        <v>7</v>
      </c>
      <c r="B143" s="103" t="s">
        <v>19</v>
      </c>
      <c r="C143" s="103" t="s">
        <v>19</v>
      </c>
      <c r="D143" s="14">
        <v>2</v>
      </c>
      <c r="E143" s="103" t="s">
        <v>40</v>
      </c>
      <c r="F143" s="103" t="s">
        <v>40</v>
      </c>
      <c r="G143" s="14"/>
      <c r="H143" s="14"/>
      <c r="I143" s="14"/>
      <c r="J143" s="14"/>
      <c r="K143" s="14"/>
      <c r="L143" s="14"/>
      <c r="M143" s="30"/>
      <c r="N143" s="41" t="s">
        <v>107</v>
      </c>
      <c r="O143" s="164"/>
      <c r="P143" s="141">
        <f>P144</f>
        <v>89770000</v>
      </c>
      <c r="Q143" s="164"/>
      <c r="R143" s="165">
        <f t="shared" si="21"/>
        <v>89770000</v>
      </c>
      <c r="S143" s="165">
        <f>S144</f>
        <v>67253703</v>
      </c>
      <c r="T143" s="165"/>
      <c r="U143" s="165">
        <f>U144</f>
        <v>69132703</v>
      </c>
      <c r="V143" s="165"/>
      <c r="W143" s="165">
        <f t="shared" si="22"/>
        <v>69132703</v>
      </c>
      <c r="X143" s="168">
        <f t="shared" si="23"/>
        <v>20637297</v>
      </c>
      <c r="Y143" s="168"/>
      <c r="Z143" s="168">
        <f t="shared" si="24"/>
        <v>-1879000</v>
      </c>
      <c r="AA143" s="198">
        <f t="shared" si="25"/>
        <v>0.77010920129219118</v>
      </c>
      <c r="AB143" s="3"/>
      <c r="AC143" s="3"/>
      <c r="AD143" s="3"/>
      <c r="AE143" s="3"/>
    </row>
    <row r="144" spans="1:31" ht="38.25" customHeight="1">
      <c r="A144" s="11">
        <v>7</v>
      </c>
      <c r="B144" s="104" t="s">
        <v>19</v>
      </c>
      <c r="C144" s="104" t="s">
        <v>19</v>
      </c>
      <c r="D144" s="12">
        <v>2</v>
      </c>
      <c r="E144" s="104" t="s">
        <v>40</v>
      </c>
      <c r="F144" s="104" t="s">
        <v>40</v>
      </c>
      <c r="G144" s="12">
        <v>5</v>
      </c>
      <c r="H144" s="12">
        <v>1</v>
      </c>
      <c r="I144" s="104" t="s">
        <v>22</v>
      </c>
      <c r="J144" s="50"/>
      <c r="K144" s="36"/>
      <c r="L144" s="36"/>
      <c r="M144" s="51"/>
      <c r="N144" s="53" t="s">
        <v>49</v>
      </c>
      <c r="O144" s="53"/>
      <c r="P144" s="38">
        <f>P145</f>
        <v>89770000</v>
      </c>
      <c r="Q144" s="53"/>
      <c r="R144" s="82">
        <f t="shared" ref="R144:R189" si="42">O144+P144+Q144</f>
        <v>89770000</v>
      </c>
      <c r="S144" s="82">
        <f>S145</f>
        <v>67253703</v>
      </c>
      <c r="T144" s="82"/>
      <c r="U144" s="81">
        <f>U145</f>
        <v>69132703</v>
      </c>
      <c r="V144" s="82"/>
      <c r="W144" s="82">
        <f t="shared" ref="W144:W189" si="43">T144+U144+V144</f>
        <v>69132703</v>
      </c>
      <c r="X144" s="170">
        <f t="shared" ref="X144:X189" si="44">R144-W144</f>
        <v>20637297</v>
      </c>
      <c r="Y144" s="170"/>
      <c r="Z144" s="170">
        <f t="shared" ref="Z144:Z189" si="45">S144-W144</f>
        <v>-1879000</v>
      </c>
      <c r="AA144" s="196">
        <f t="shared" ref="AA144:AA189" si="46">W144/R144*100%</f>
        <v>0.77010920129219118</v>
      </c>
      <c r="AB144" s="3"/>
      <c r="AC144" s="3"/>
      <c r="AD144" s="3"/>
      <c r="AE144" s="3"/>
    </row>
    <row r="145" spans="1:31" ht="38.25" customHeight="1">
      <c r="A145" s="11">
        <v>7</v>
      </c>
      <c r="B145" s="104" t="s">
        <v>19</v>
      </c>
      <c r="C145" s="104" t="s">
        <v>19</v>
      </c>
      <c r="D145" s="12">
        <v>2</v>
      </c>
      <c r="E145" s="104" t="s">
        <v>40</v>
      </c>
      <c r="F145" s="104" t="s">
        <v>40</v>
      </c>
      <c r="G145" s="12">
        <v>5</v>
      </c>
      <c r="H145" s="12">
        <v>1</v>
      </c>
      <c r="I145" s="104" t="s">
        <v>22</v>
      </c>
      <c r="J145" s="107" t="s">
        <v>30</v>
      </c>
      <c r="K145" s="36"/>
      <c r="L145" s="36"/>
      <c r="M145" s="51"/>
      <c r="N145" s="53" t="s">
        <v>96</v>
      </c>
      <c r="O145" s="53"/>
      <c r="P145" s="38">
        <f>P146</f>
        <v>89770000</v>
      </c>
      <c r="Q145" s="53"/>
      <c r="R145" s="82">
        <f t="shared" si="42"/>
        <v>89770000</v>
      </c>
      <c r="S145" s="82">
        <f>S146</f>
        <v>67253703</v>
      </c>
      <c r="T145" s="82"/>
      <c r="U145" s="81">
        <f>U146</f>
        <v>69132703</v>
      </c>
      <c r="V145" s="82"/>
      <c r="W145" s="82">
        <f t="shared" si="43"/>
        <v>69132703</v>
      </c>
      <c r="X145" s="170">
        <f t="shared" si="44"/>
        <v>20637297</v>
      </c>
      <c r="Y145" s="170"/>
      <c r="Z145" s="170">
        <f t="shared" si="45"/>
        <v>-1879000</v>
      </c>
      <c r="AA145" s="196">
        <f t="shared" si="46"/>
        <v>0.77010920129219118</v>
      </c>
      <c r="AB145" s="3"/>
      <c r="AC145" s="3"/>
      <c r="AD145" s="3"/>
      <c r="AE145" s="3"/>
    </row>
    <row r="146" spans="1:31" ht="51.75" customHeight="1">
      <c r="A146" s="11">
        <v>7</v>
      </c>
      <c r="B146" s="104" t="s">
        <v>19</v>
      </c>
      <c r="C146" s="104" t="s">
        <v>19</v>
      </c>
      <c r="D146" s="12">
        <v>2</v>
      </c>
      <c r="E146" s="104" t="s">
        <v>40</v>
      </c>
      <c r="F146" s="104" t="s">
        <v>40</v>
      </c>
      <c r="G146" s="12">
        <v>5</v>
      </c>
      <c r="H146" s="12">
        <v>1</v>
      </c>
      <c r="I146" s="104" t="s">
        <v>22</v>
      </c>
      <c r="J146" s="107" t="s">
        <v>30</v>
      </c>
      <c r="K146" s="107" t="s">
        <v>30</v>
      </c>
      <c r="L146" s="36"/>
      <c r="M146" s="51"/>
      <c r="N146" s="37" t="s">
        <v>108</v>
      </c>
      <c r="O146" s="53"/>
      <c r="P146" s="38">
        <f>P147</f>
        <v>89770000</v>
      </c>
      <c r="Q146" s="53"/>
      <c r="R146" s="82">
        <f t="shared" si="42"/>
        <v>89770000</v>
      </c>
      <c r="S146" s="82">
        <f>S147</f>
        <v>67253703</v>
      </c>
      <c r="T146" s="82"/>
      <c r="U146" s="81">
        <f>U147</f>
        <v>69132703</v>
      </c>
      <c r="V146" s="82"/>
      <c r="W146" s="82">
        <f t="shared" si="43"/>
        <v>69132703</v>
      </c>
      <c r="X146" s="170">
        <f t="shared" si="44"/>
        <v>20637297</v>
      </c>
      <c r="Y146" s="170"/>
      <c r="Z146" s="170">
        <f t="shared" si="45"/>
        <v>-1879000</v>
      </c>
      <c r="AA146" s="196">
        <f t="shared" si="46"/>
        <v>0.77010920129219118</v>
      </c>
      <c r="AB146" s="3"/>
      <c r="AC146" s="3"/>
      <c r="AD146" s="3"/>
      <c r="AE146" s="3"/>
    </row>
    <row r="147" spans="1:31" ht="55.5" customHeight="1">
      <c r="A147" s="15">
        <v>7</v>
      </c>
      <c r="B147" s="105" t="s">
        <v>19</v>
      </c>
      <c r="C147" s="105" t="s">
        <v>19</v>
      </c>
      <c r="D147" s="16">
        <v>2</v>
      </c>
      <c r="E147" s="105" t="s">
        <v>40</v>
      </c>
      <c r="F147" s="105" t="s">
        <v>40</v>
      </c>
      <c r="G147" s="16">
        <v>5</v>
      </c>
      <c r="H147" s="16">
        <v>1</v>
      </c>
      <c r="I147" s="105" t="s">
        <v>22</v>
      </c>
      <c r="J147" s="106" t="s">
        <v>30</v>
      </c>
      <c r="K147" s="106" t="s">
        <v>30</v>
      </c>
      <c r="L147" s="106" t="s">
        <v>27</v>
      </c>
      <c r="M147" s="108" t="s">
        <v>10</v>
      </c>
      <c r="N147" s="39" t="s">
        <v>109</v>
      </c>
      <c r="O147" s="34"/>
      <c r="P147" s="35">
        <f>'LRA SP2D'!O148</f>
        <v>89770000</v>
      </c>
      <c r="Q147" s="34"/>
      <c r="R147" s="81">
        <f t="shared" si="42"/>
        <v>89770000</v>
      </c>
      <c r="S147" s="81">
        <f>'LRA SP2D'!R148</f>
        <v>67253703</v>
      </c>
      <c r="T147" s="81"/>
      <c r="U147" s="81">
        <f>'LRA SP2D'!U148</f>
        <v>69132703</v>
      </c>
      <c r="V147" s="81"/>
      <c r="W147" s="81">
        <f t="shared" si="43"/>
        <v>69132703</v>
      </c>
      <c r="X147" s="161">
        <f t="shared" si="44"/>
        <v>20637297</v>
      </c>
      <c r="Y147" s="161"/>
      <c r="Z147" s="161">
        <f t="shared" si="45"/>
        <v>-1879000</v>
      </c>
      <c r="AA147" s="199">
        <f t="shared" si="46"/>
        <v>0.77010920129219118</v>
      </c>
      <c r="AB147" s="3"/>
      <c r="AC147" s="3"/>
      <c r="AD147" s="3"/>
      <c r="AE147" s="3"/>
    </row>
    <row r="148" spans="1:31" ht="16.3">
      <c r="A148" s="54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73"/>
      <c r="N148" s="126"/>
      <c r="O148" s="34"/>
      <c r="P148" s="34"/>
      <c r="Q148" s="34"/>
      <c r="R148" s="81">
        <f t="shared" si="42"/>
        <v>0</v>
      </c>
      <c r="S148" s="34"/>
      <c r="T148" s="81"/>
      <c r="U148" s="81"/>
      <c r="V148" s="81"/>
      <c r="W148" s="81"/>
      <c r="X148" s="161"/>
      <c r="Y148" s="161"/>
      <c r="Z148" s="161"/>
      <c r="AA148" s="199"/>
      <c r="AB148" s="3"/>
      <c r="AC148" s="3"/>
      <c r="AD148" s="3"/>
      <c r="AE148" s="3"/>
    </row>
    <row r="149" spans="1:31" ht="51.75" customHeight="1">
      <c r="A149" s="56">
        <v>7</v>
      </c>
      <c r="B149" s="109" t="s">
        <v>19</v>
      </c>
      <c r="C149" s="109" t="s">
        <v>22</v>
      </c>
      <c r="D149" s="57"/>
      <c r="E149" s="57"/>
      <c r="F149" s="57"/>
      <c r="G149" s="57"/>
      <c r="H149" s="57"/>
      <c r="I149" s="57"/>
      <c r="J149" s="57"/>
      <c r="K149" s="57"/>
      <c r="L149" s="57"/>
      <c r="M149" s="75"/>
      <c r="N149" s="127" t="s">
        <v>110</v>
      </c>
      <c r="O149" s="172">
        <f>O151+O171</f>
        <v>0</v>
      </c>
      <c r="P149" s="172">
        <f t="shared" ref="P149:R149" si="47">P151+P171</f>
        <v>3780676250</v>
      </c>
      <c r="Q149" s="172">
        <f t="shared" si="47"/>
        <v>0</v>
      </c>
      <c r="R149" s="172">
        <f t="shared" si="47"/>
        <v>3780676250</v>
      </c>
      <c r="S149" s="172">
        <f>S151+S171</f>
        <v>3389593716</v>
      </c>
      <c r="T149" s="172">
        <f t="shared" ref="T149:V149" si="48">T151+T171</f>
        <v>0</v>
      </c>
      <c r="U149" s="172">
        <f t="shared" si="48"/>
        <v>3636844995</v>
      </c>
      <c r="V149" s="172">
        <f t="shared" si="48"/>
        <v>0</v>
      </c>
      <c r="W149" s="172">
        <f t="shared" si="43"/>
        <v>3636844995</v>
      </c>
      <c r="X149" s="173">
        <f>R149-W149</f>
        <v>143831255</v>
      </c>
      <c r="Y149" s="173"/>
      <c r="Z149" s="173">
        <f>S149-W149</f>
        <v>-247251279</v>
      </c>
      <c r="AA149" s="200">
        <f t="shared" si="46"/>
        <v>0.96195620955378025</v>
      </c>
      <c r="AB149" s="3"/>
      <c r="AC149" s="3"/>
      <c r="AD149" s="3"/>
      <c r="AE149" s="3"/>
    </row>
    <row r="150" spans="1:31" ht="16.3">
      <c r="A150" s="54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73"/>
      <c r="N150" s="126"/>
      <c r="O150" s="34"/>
      <c r="P150" s="34"/>
      <c r="Q150" s="34"/>
      <c r="R150" s="81"/>
      <c r="S150" s="34"/>
      <c r="T150" s="81"/>
      <c r="U150" s="81"/>
      <c r="V150" s="81"/>
      <c r="W150" s="81"/>
      <c r="X150" s="161"/>
      <c r="Y150" s="161"/>
      <c r="Z150" s="161"/>
      <c r="AA150" s="199"/>
      <c r="AB150" s="3"/>
      <c r="AC150" s="3"/>
      <c r="AD150" s="3"/>
      <c r="AE150" s="3"/>
    </row>
    <row r="151" spans="1:31" ht="65.25" customHeight="1">
      <c r="A151" s="58">
        <v>7</v>
      </c>
      <c r="B151" s="110" t="s">
        <v>19</v>
      </c>
      <c r="C151" s="110" t="s">
        <v>22</v>
      </c>
      <c r="D151" s="10">
        <v>2</v>
      </c>
      <c r="E151" s="102" t="s">
        <v>30</v>
      </c>
      <c r="F151" s="10"/>
      <c r="G151" s="10"/>
      <c r="H151" s="59"/>
      <c r="I151" s="59"/>
      <c r="J151" s="59"/>
      <c r="K151" s="59"/>
      <c r="L151" s="59"/>
      <c r="M151" s="59"/>
      <c r="N151" s="25" t="s">
        <v>182</v>
      </c>
      <c r="O151" s="40">
        <f>O153</f>
        <v>0</v>
      </c>
      <c r="P151" s="26">
        <f>P153</f>
        <v>1612820050</v>
      </c>
      <c r="Q151" s="40"/>
      <c r="R151" s="163">
        <f t="shared" si="42"/>
        <v>1612820050</v>
      </c>
      <c r="S151" s="26">
        <f>S153</f>
        <v>1465613036</v>
      </c>
      <c r="T151" s="163"/>
      <c r="U151" s="26">
        <f>U153</f>
        <v>1585773452</v>
      </c>
      <c r="V151" s="163"/>
      <c r="W151" s="163">
        <f t="shared" si="43"/>
        <v>1585773452</v>
      </c>
      <c r="X151" s="95">
        <f t="shared" si="44"/>
        <v>27046598</v>
      </c>
      <c r="Y151" s="95"/>
      <c r="Z151" s="95">
        <f t="shared" si="45"/>
        <v>-120160416</v>
      </c>
      <c r="AA151" s="197">
        <f t="shared" si="46"/>
        <v>0.98323024444047558</v>
      </c>
      <c r="AB151" s="3"/>
      <c r="AC151" s="3"/>
      <c r="AD151" s="3"/>
      <c r="AE151" s="3"/>
    </row>
    <row r="152" spans="1:31" ht="16.3">
      <c r="A152" s="54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73"/>
      <c r="N152" s="125"/>
      <c r="O152" s="34"/>
      <c r="P152" s="34"/>
      <c r="Q152" s="34"/>
      <c r="R152" s="81"/>
      <c r="S152" s="34"/>
      <c r="T152" s="81"/>
      <c r="U152" s="81"/>
      <c r="V152" s="81"/>
      <c r="W152" s="81"/>
      <c r="X152" s="161"/>
      <c r="Y152" s="161"/>
      <c r="Z152" s="161"/>
      <c r="AA152" s="199"/>
      <c r="AB152" s="3"/>
      <c r="AC152" s="3"/>
      <c r="AD152" s="3"/>
      <c r="AE152" s="3"/>
    </row>
    <row r="153" spans="1:31" ht="98.25" customHeight="1">
      <c r="A153" s="62">
        <v>7</v>
      </c>
      <c r="B153" s="111" t="s">
        <v>19</v>
      </c>
      <c r="C153" s="111" t="s">
        <v>22</v>
      </c>
      <c r="D153" s="14">
        <v>2</v>
      </c>
      <c r="E153" s="112" t="s">
        <v>30</v>
      </c>
      <c r="F153" s="112" t="s">
        <v>19</v>
      </c>
      <c r="G153" s="63"/>
      <c r="H153" s="64"/>
      <c r="I153" s="64"/>
      <c r="J153" s="64"/>
      <c r="K153" s="64"/>
      <c r="L153" s="64"/>
      <c r="M153" s="80"/>
      <c r="N153" s="41" t="s">
        <v>257</v>
      </c>
      <c r="O153" s="164"/>
      <c r="P153" s="141">
        <f>P154</f>
        <v>1612820050</v>
      </c>
      <c r="Q153" s="164"/>
      <c r="R153" s="165">
        <f t="shared" si="42"/>
        <v>1612820050</v>
      </c>
      <c r="S153" s="141">
        <f>S154</f>
        <v>1465613036</v>
      </c>
      <c r="T153" s="165"/>
      <c r="U153" s="141">
        <f>U154</f>
        <v>1585773452</v>
      </c>
      <c r="V153" s="165"/>
      <c r="W153" s="165">
        <f t="shared" si="43"/>
        <v>1585773452</v>
      </c>
      <c r="X153" s="168">
        <f t="shared" si="44"/>
        <v>27046598</v>
      </c>
      <c r="Y153" s="168"/>
      <c r="Z153" s="168">
        <f t="shared" si="45"/>
        <v>-120160416</v>
      </c>
      <c r="AA153" s="198">
        <f t="shared" si="46"/>
        <v>0.98323024444047558</v>
      </c>
      <c r="AB153" s="3"/>
      <c r="AC153" s="3"/>
      <c r="AD153" s="3"/>
      <c r="AE153" s="3"/>
    </row>
    <row r="154" spans="1:31" ht="35.25" customHeight="1">
      <c r="A154" s="65">
        <v>7</v>
      </c>
      <c r="B154" s="113" t="s">
        <v>19</v>
      </c>
      <c r="C154" s="113" t="s">
        <v>22</v>
      </c>
      <c r="D154" s="12">
        <v>2</v>
      </c>
      <c r="E154" s="104" t="s">
        <v>30</v>
      </c>
      <c r="F154" s="104" t="s">
        <v>19</v>
      </c>
      <c r="G154" s="12">
        <v>5</v>
      </c>
      <c r="H154" s="12">
        <v>1</v>
      </c>
      <c r="I154" s="104" t="s">
        <v>22</v>
      </c>
      <c r="J154" s="50"/>
      <c r="K154" s="36"/>
      <c r="L154" s="36"/>
      <c r="M154" s="51"/>
      <c r="N154" s="53" t="s">
        <v>49</v>
      </c>
      <c r="O154" s="53"/>
      <c r="P154" s="38">
        <f>P155+P160+P167</f>
        <v>1612820050</v>
      </c>
      <c r="Q154" s="53"/>
      <c r="R154" s="82">
        <f t="shared" si="42"/>
        <v>1612820050</v>
      </c>
      <c r="S154" s="38">
        <f>S155+S160+S167</f>
        <v>1465613036</v>
      </c>
      <c r="T154" s="82"/>
      <c r="U154" s="38">
        <f>U155+U160+U167</f>
        <v>1585773452</v>
      </c>
      <c r="V154" s="82"/>
      <c r="W154" s="82">
        <f t="shared" si="43"/>
        <v>1585773452</v>
      </c>
      <c r="X154" s="170">
        <f t="shared" si="44"/>
        <v>27046598</v>
      </c>
      <c r="Y154" s="170"/>
      <c r="Z154" s="170">
        <f t="shared" si="45"/>
        <v>-120160416</v>
      </c>
      <c r="AA154" s="196">
        <f t="shared" si="46"/>
        <v>0.98323024444047558</v>
      </c>
      <c r="AB154" s="3"/>
      <c r="AC154" s="3"/>
      <c r="AD154" s="3"/>
      <c r="AE154" s="3"/>
    </row>
    <row r="155" spans="1:31" ht="35.25" customHeight="1">
      <c r="A155" s="65">
        <v>7</v>
      </c>
      <c r="B155" s="113" t="s">
        <v>19</v>
      </c>
      <c r="C155" s="113" t="s">
        <v>22</v>
      </c>
      <c r="D155" s="12">
        <v>2</v>
      </c>
      <c r="E155" s="104" t="s">
        <v>30</v>
      </c>
      <c r="F155" s="104" t="s">
        <v>19</v>
      </c>
      <c r="G155" s="12">
        <v>5</v>
      </c>
      <c r="H155" s="12">
        <v>1</v>
      </c>
      <c r="I155" s="104" t="s">
        <v>22</v>
      </c>
      <c r="J155" s="107" t="s">
        <v>19</v>
      </c>
      <c r="K155" s="36"/>
      <c r="L155" s="36"/>
      <c r="M155" s="51"/>
      <c r="N155" s="53" t="s">
        <v>65</v>
      </c>
      <c r="O155" s="53"/>
      <c r="P155" s="38">
        <f>P156</f>
        <v>34381000</v>
      </c>
      <c r="Q155" s="53"/>
      <c r="R155" s="82">
        <f t="shared" si="42"/>
        <v>34381000</v>
      </c>
      <c r="S155" s="38">
        <f>S156</f>
        <v>27992600</v>
      </c>
      <c r="T155" s="82"/>
      <c r="U155" s="38">
        <f>U156</f>
        <v>28793600</v>
      </c>
      <c r="V155" s="82"/>
      <c r="W155" s="82">
        <f t="shared" si="43"/>
        <v>28793600</v>
      </c>
      <c r="X155" s="170">
        <f t="shared" si="44"/>
        <v>5587400</v>
      </c>
      <c r="Y155" s="170"/>
      <c r="Z155" s="170">
        <f t="shared" si="45"/>
        <v>-801000</v>
      </c>
      <c r="AA155" s="196">
        <f t="shared" si="46"/>
        <v>0.83748582065675814</v>
      </c>
      <c r="AB155" s="3"/>
      <c r="AC155" s="3"/>
      <c r="AD155" s="3"/>
      <c r="AE155" s="3"/>
    </row>
    <row r="156" spans="1:31" ht="35.25" customHeight="1">
      <c r="A156" s="65">
        <v>7</v>
      </c>
      <c r="B156" s="113" t="s">
        <v>19</v>
      </c>
      <c r="C156" s="113" t="s">
        <v>22</v>
      </c>
      <c r="D156" s="12">
        <v>2</v>
      </c>
      <c r="E156" s="104" t="s">
        <v>30</v>
      </c>
      <c r="F156" s="104" t="s">
        <v>19</v>
      </c>
      <c r="G156" s="12">
        <v>5</v>
      </c>
      <c r="H156" s="12">
        <v>1</v>
      </c>
      <c r="I156" s="104" t="s">
        <v>22</v>
      </c>
      <c r="J156" s="107" t="s">
        <v>19</v>
      </c>
      <c r="K156" s="107" t="s">
        <v>19</v>
      </c>
      <c r="L156" s="36"/>
      <c r="M156" s="51"/>
      <c r="N156" s="53" t="s">
        <v>51</v>
      </c>
      <c r="O156" s="53"/>
      <c r="P156" s="38">
        <f>SUM(P157:P159)</f>
        <v>34381000</v>
      </c>
      <c r="Q156" s="53"/>
      <c r="R156" s="82">
        <f t="shared" si="42"/>
        <v>34381000</v>
      </c>
      <c r="S156" s="38">
        <f>S157+S158+S159</f>
        <v>27992600</v>
      </c>
      <c r="T156" s="82"/>
      <c r="U156" s="38">
        <f>U157+U158+U159</f>
        <v>28793600</v>
      </c>
      <c r="V156" s="82"/>
      <c r="W156" s="82">
        <f t="shared" si="43"/>
        <v>28793600</v>
      </c>
      <c r="X156" s="170">
        <f t="shared" si="44"/>
        <v>5587400</v>
      </c>
      <c r="Y156" s="170"/>
      <c r="Z156" s="170">
        <f t="shared" si="45"/>
        <v>-801000</v>
      </c>
      <c r="AA156" s="196">
        <f t="shared" si="46"/>
        <v>0.83748582065675814</v>
      </c>
      <c r="AB156" s="3"/>
      <c r="AC156" s="3"/>
      <c r="AD156" s="3"/>
      <c r="AE156" s="3"/>
    </row>
    <row r="157" spans="1:31" ht="35.25" customHeight="1">
      <c r="A157" s="67">
        <v>7</v>
      </c>
      <c r="B157" s="114" t="s">
        <v>19</v>
      </c>
      <c r="C157" s="114" t="s">
        <v>22</v>
      </c>
      <c r="D157" s="16">
        <v>2</v>
      </c>
      <c r="E157" s="105" t="s">
        <v>30</v>
      </c>
      <c r="F157" s="105" t="s">
        <v>19</v>
      </c>
      <c r="G157" s="16">
        <v>5</v>
      </c>
      <c r="H157" s="16">
        <v>1</v>
      </c>
      <c r="I157" s="105" t="s">
        <v>22</v>
      </c>
      <c r="J157" s="106" t="s">
        <v>19</v>
      </c>
      <c r="K157" s="106" t="s">
        <v>19</v>
      </c>
      <c r="L157" s="106" t="s">
        <v>27</v>
      </c>
      <c r="M157" s="51">
        <v>4</v>
      </c>
      <c r="N157" s="39" t="s">
        <v>94</v>
      </c>
      <c r="O157" s="34"/>
      <c r="P157" s="35">
        <f>'LRA SP2D'!O158</f>
        <v>8595750</v>
      </c>
      <c r="Q157" s="34"/>
      <c r="R157" s="81">
        <f t="shared" si="42"/>
        <v>8595750</v>
      </c>
      <c r="S157" s="81">
        <f>'LRA SP2D'!R158</f>
        <v>8448850</v>
      </c>
      <c r="T157" s="81"/>
      <c r="U157" s="81">
        <f>'LRA SP2D'!U158</f>
        <v>8448850</v>
      </c>
      <c r="V157" s="81"/>
      <c r="W157" s="81">
        <f t="shared" si="43"/>
        <v>8448850</v>
      </c>
      <c r="X157" s="161">
        <f t="shared" si="44"/>
        <v>146900</v>
      </c>
      <c r="Y157" s="161"/>
      <c r="Z157" s="161">
        <f t="shared" si="45"/>
        <v>0</v>
      </c>
      <c r="AA157" s="199">
        <f t="shared" si="46"/>
        <v>0.98291015909024804</v>
      </c>
      <c r="AB157" s="3"/>
      <c r="AC157" s="3"/>
      <c r="AD157" s="3"/>
      <c r="AE157" s="3"/>
    </row>
    <row r="158" spans="1:31" ht="35.25" customHeight="1">
      <c r="A158" s="67">
        <v>7</v>
      </c>
      <c r="B158" s="114" t="s">
        <v>19</v>
      </c>
      <c r="C158" s="114" t="s">
        <v>22</v>
      </c>
      <c r="D158" s="16">
        <v>2</v>
      </c>
      <c r="E158" s="105" t="s">
        <v>30</v>
      </c>
      <c r="F158" s="105" t="s">
        <v>19</v>
      </c>
      <c r="G158" s="16">
        <v>5</v>
      </c>
      <c r="H158" s="16">
        <v>1</v>
      </c>
      <c r="I158" s="105" t="s">
        <v>22</v>
      </c>
      <c r="J158" s="106" t="s">
        <v>19</v>
      </c>
      <c r="K158" s="106" t="s">
        <v>19</v>
      </c>
      <c r="L158" s="106" t="s">
        <v>52</v>
      </c>
      <c r="M158" s="108" t="s">
        <v>79</v>
      </c>
      <c r="N158" s="39" t="s">
        <v>173</v>
      </c>
      <c r="O158" s="34"/>
      <c r="P158" s="35">
        <f>'LRA SP2D'!O159</f>
        <v>10667500</v>
      </c>
      <c r="Q158" s="34"/>
      <c r="R158" s="81">
        <f t="shared" si="42"/>
        <v>10667500</v>
      </c>
      <c r="S158" s="81">
        <f>'LRA SP2D'!R159</f>
        <v>8882500</v>
      </c>
      <c r="T158" s="81"/>
      <c r="U158" s="81">
        <f>'LRA SP2D'!U159</f>
        <v>8882500</v>
      </c>
      <c r="V158" s="81"/>
      <c r="W158" s="81">
        <f t="shared" si="43"/>
        <v>8882500</v>
      </c>
      <c r="X158" s="161">
        <f t="shared" si="44"/>
        <v>1785000</v>
      </c>
      <c r="Y158" s="161"/>
      <c r="Z158" s="161">
        <f t="shared" si="45"/>
        <v>0</v>
      </c>
      <c r="AA158" s="199">
        <f t="shared" si="46"/>
        <v>0.83266932270916338</v>
      </c>
      <c r="AB158" s="3"/>
      <c r="AC158" s="3"/>
      <c r="AD158" s="3"/>
      <c r="AE158" s="3"/>
    </row>
    <row r="159" spans="1:31" ht="41.25" customHeight="1">
      <c r="A159" s="67">
        <v>7</v>
      </c>
      <c r="B159" s="114" t="s">
        <v>19</v>
      </c>
      <c r="C159" s="114" t="s">
        <v>22</v>
      </c>
      <c r="D159" s="16">
        <v>2</v>
      </c>
      <c r="E159" s="105" t="s">
        <v>30</v>
      </c>
      <c r="F159" s="105" t="s">
        <v>19</v>
      </c>
      <c r="G159" s="16">
        <v>5</v>
      </c>
      <c r="H159" s="16">
        <v>1</v>
      </c>
      <c r="I159" s="105" t="s">
        <v>22</v>
      </c>
      <c r="J159" s="106" t="s">
        <v>19</v>
      </c>
      <c r="K159" s="106" t="s">
        <v>19</v>
      </c>
      <c r="L159" s="106" t="s">
        <v>52</v>
      </c>
      <c r="M159" s="108">
        <v>6</v>
      </c>
      <c r="N159" s="39" t="s">
        <v>176</v>
      </c>
      <c r="O159" s="34"/>
      <c r="P159" s="35">
        <f>'LRA SP2D'!O160</f>
        <v>15117750</v>
      </c>
      <c r="Q159" s="34"/>
      <c r="R159" s="81">
        <f t="shared" si="42"/>
        <v>15117750</v>
      </c>
      <c r="S159" s="81">
        <f>'LRA SP2D'!R160</f>
        <v>10661250</v>
      </c>
      <c r="T159" s="81"/>
      <c r="U159" s="81">
        <f>'LRA SP2D'!U160</f>
        <v>11462250</v>
      </c>
      <c r="V159" s="81"/>
      <c r="W159" s="81">
        <f t="shared" si="43"/>
        <v>11462250</v>
      </c>
      <c r="X159" s="161">
        <f t="shared" si="44"/>
        <v>3655500</v>
      </c>
      <c r="Y159" s="161">
        <f t="shared" ref="Y159:Y183" si="49">S159-W159</f>
        <v>-801000</v>
      </c>
      <c r="Z159" s="161">
        <f t="shared" si="45"/>
        <v>-801000</v>
      </c>
      <c r="AA159" s="199">
        <f t="shared" si="46"/>
        <v>0.75819814456516343</v>
      </c>
      <c r="AB159" s="3"/>
      <c r="AC159" s="3"/>
      <c r="AD159" s="3"/>
      <c r="AE159" s="3"/>
    </row>
    <row r="160" spans="1:31" ht="33" customHeight="1">
      <c r="A160" s="65">
        <v>7</v>
      </c>
      <c r="B160" s="113" t="s">
        <v>19</v>
      </c>
      <c r="C160" s="113" t="s">
        <v>22</v>
      </c>
      <c r="D160" s="12">
        <v>2</v>
      </c>
      <c r="E160" s="104" t="s">
        <v>30</v>
      </c>
      <c r="F160" s="104" t="s">
        <v>19</v>
      </c>
      <c r="G160" s="12">
        <v>5</v>
      </c>
      <c r="H160" s="12">
        <v>1</v>
      </c>
      <c r="I160" s="104" t="s">
        <v>22</v>
      </c>
      <c r="J160" s="107" t="s">
        <v>22</v>
      </c>
      <c r="K160" s="36"/>
      <c r="L160" s="36"/>
      <c r="M160" s="51"/>
      <c r="N160" s="53" t="s">
        <v>75</v>
      </c>
      <c r="O160" s="53"/>
      <c r="P160" s="38">
        <f>P161+P164</f>
        <v>1494268800</v>
      </c>
      <c r="Q160" s="53"/>
      <c r="R160" s="82">
        <f t="shared" si="42"/>
        <v>1494268800</v>
      </c>
      <c r="S160" s="82">
        <f>'LRA SP2D'!R161</f>
        <v>1355736424</v>
      </c>
      <c r="T160" s="82"/>
      <c r="U160" s="82">
        <f>'LRA SP2D'!U161</f>
        <v>1475095840</v>
      </c>
      <c r="V160" s="82"/>
      <c r="W160" s="82">
        <f t="shared" si="43"/>
        <v>1475095840</v>
      </c>
      <c r="X160" s="170">
        <f t="shared" si="44"/>
        <v>19172960</v>
      </c>
      <c r="Y160" s="170"/>
      <c r="Z160" s="170">
        <f t="shared" si="45"/>
        <v>-119359416</v>
      </c>
      <c r="AA160" s="196">
        <f t="shared" si="46"/>
        <v>0.987169001989468</v>
      </c>
      <c r="AB160" s="3"/>
      <c r="AC160" s="3"/>
      <c r="AD160" s="3"/>
      <c r="AE160" s="3"/>
    </row>
    <row r="161" spans="1:31" ht="33" customHeight="1">
      <c r="A161" s="65">
        <v>7</v>
      </c>
      <c r="B161" s="113" t="s">
        <v>19</v>
      </c>
      <c r="C161" s="113" t="s">
        <v>22</v>
      </c>
      <c r="D161" s="12">
        <v>2</v>
      </c>
      <c r="E161" s="104" t="s">
        <v>30</v>
      </c>
      <c r="F161" s="104" t="s">
        <v>19</v>
      </c>
      <c r="G161" s="12">
        <v>5</v>
      </c>
      <c r="H161" s="12">
        <v>1</v>
      </c>
      <c r="I161" s="104" t="s">
        <v>22</v>
      </c>
      <c r="J161" s="107" t="s">
        <v>22</v>
      </c>
      <c r="K161" s="107" t="s">
        <v>19</v>
      </c>
      <c r="L161" s="36"/>
      <c r="M161" s="51"/>
      <c r="N161" s="53" t="s">
        <v>114</v>
      </c>
      <c r="O161" s="53"/>
      <c r="P161" s="38">
        <f>P162+P163</f>
        <v>1477680000</v>
      </c>
      <c r="Q161" s="53"/>
      <c r="R161" s="82">
        <f t="shared" si="42"/>
        <v>1477680000</v>
      </c>
      <c r="S161" s="82">
        <f>'LRA SP2D'!R162</f>
        <v>1348352000</v>
      </c>
      <c r="T161" s="82"/>
      <c r="U161" s="82">
        <f>'LRA SP2D'!U162</f>
        <v>1467392000</v>
      </c>
      <c r="V161" s="82"/>
      <c r="W161" s="82">
        <f t="shared" si="43"/>
        <v>1467392000</v>
      </c>
      <c r="X161" s="170">
        <f t="shared" si="44"/>
        <v>10288000</v>
      </c>
      <c r="Y161" s="170"/>
      <c r="Z161" s="170">
        <f t="shared" si="45"/>
        <v>-119040000</v>
      </c>
      <c r="AA161" s="196">
        <f t="shared" si="46"/>
        <v>0.99303773482756752</v>
      </c>
      <c r="AB161" s="3"/>
      <c r="AC161" s="3"/>
      <c r="AD161" s="3"/>
      <c r="AE161" s="3"/>
    </row>
    <row r="162" spans="1:31" ht="33" customHeight="1">
      <c r="A162" s="67">
        <v>7</v>
      </c>
      <c r="B162" s="114" t="s">
        <v>19</v>
      </c>
      <c r="C162" s="114" t="s">
        <v>22</v>
      </c>
      <c r="D162" s="16">
        <v>2</v>
      </c>
      <c r="E162" s="105" t="s">
        <v>30</v>
      </c>
      <c r="F162" s="105" t="s">
        <v>19</v>
      </c>
      <c r="G162" s="16">
        <v>5</v>
      </c>
      <c r="H162" s="16">
        <v>1</v>
      </c>
      <c r="I162" s="105" t="s">
        <v>22</v>
      </c>
      <c r="J162" s="106" t="s">
        <v>22</v>
      </c>
      <c r="K162" s="106" t="s">
        <v>19</v>
      </c>
      <c r="L162" s="106" t="s">
        <v>52</v>
      </c>
      <c r="M162" s="108" t="s">
        <v>79</v>
      </c>
      <c r="N162" s="39" t="s">
        <v>177</v>
      </c>
      <c r="O162" s="34"/>
      <c r="P162" s="35">
        <f>'LRA SP2D'!O163</f>
        <v>1475280000</v>
      </c>
      <c r="Q162" s="34"/>
      <c r="R162" s="81">
        <f t="shared" si="42"/>
        <v>1475280000</v>
      </c>
      <c r="S162" s="81">
        <f>'LRA SP2D'!R163</f>
        <v>1347840000</v>
      </c>
      <c r="T162" s="81"/>
      <c r="U162" s="81">
        <f>'LRA SP2D'!U163</f>
        <v>1466880000</v>
      </c>
      <c r="V162" s="81"/>
      <c r="W162" s="81">
        <f t="shared" si="43"/>
        <v>1466880000</v>
      </c>
      <c r="X162" s="161">
        <f t="shared" si="44"/>
        <v>8400000</v>
      </c>
      <c r="Y162" s="161"/>
      <c r="Z162" s="161">
        <f t="shared" si="45"/>
        <v>-119040000</v>
      </c>
      <c r="AA162" s="199">
        <f t="shared" si="46"/>
        <v>0.99430616560924023</v>
      </c>
      <c r="AB162" s="3"/>
      <c r="AC162" s="3"/>
      <c r="AD162" s="3"/>
      <c r="AE162" s="3"/>
    </row>
    <row r="163" spans="1:31" ht="33" customHeight="1">
      <c r="A163" s="67">
        <v>7</v>
      </c>
      <c r="B163" s="114" t="s">
        <v>19</v>
      </c>
      <c r="C163" s="114" t="s">
        <v>22</v>
      </c>
      <c r="D163" s="16">
        <v>2</v>
      </c>
      <c r="E163" s="105" t="s">
        <v>30</v>
      </c>
      <c r="F163" s="105" t="s">
        <v>19</v>
      </c>
      <c r="G163" s="16">
        <v>5</v>
      </c>
      <c r="H163" s="16">
        <v>1</v>
      </c>
      <c r="I163" s="105" t="s">
        <v>22</v>
      </c>
      <c r="J163" s="106" t="s">
        <v>22</v>
      </c>
      <c r="K163" s="106" t="s">
        <v>19</v>
      </c>
      <c r="L163" s="106" t="s">
        <v>78</v>
      </c>
      <c r="M163" s="51">
        <v>7</v>
      </c>
      <c r="N163" s="34" t="s">
        <v>95</v>
      </c>
      <c r="O163" s="34"/>
      <c r="P163" s="35">
        <f>'LRA SP2D'!O164</f>
        <v>2400000</v>
      </c>
      <c r="Q163" s="34"/>
      <c r="R163" s="81">
        <f t="shared" si="42"/>
        <v>2400000</v>
      </c>
      <c r="S163" s="81">
        <f>'LRA SP2D'!R164</f>
        <v>512000</v>
      </c>
      <c r="T163" s="81"/>
      <c r="U163" s="81">
        <f>'LRA SP2D'!U164</f>
        <v>512000</v>
      </c>
      <c r="V163" s="81"/>
      <c r="W163" s="81">
        <f t="shared" si="43"/>
        <v>512000</v>
      </c>
      <c r="X163" s="161">
        <f t="shared" si="44"/>
        <v>1888000</v>
      </c>
      <c r="Y163" s="161">
        <f t="shared" si="49"/>
        <v>0</v>
      </c>
      <c r="Z163" s="161">
        <f t="shared" si="45"/>
        <v>0</v>
      </c>
      <c r="AA163" s="199">
        <f t="shared" si="46"/>
        <v>0.21333333333333335</v>
      </c>
      <c r="AB163" s="3"/>
      <c r="AC163" s="3"/>
      <c r="AD163" s="3"/>
      <c r="AE163" s="3"/>
    </row>
    <row r="164" spans="1:31" ht="33" customHeight="1">
      <c r="A164" s="65">
        <v>7</v>
      </c>
      <c r="B164" s="113" t="s">
        <v>19</v>
      </c>
      <c r="C164" s="113" t="s">
        <v>22</v>
      </c>
      <c r="D164" s="12">
        <v>2</v>
      </c>
      <c r="E164" s="104" t="s">
        <v>30</v>
      </c>
      <c r="F164" s="104" t="s">
        <v>19</v>
      </c>
      <c r="G164" s="12">
        <v>5</v>
      </c>
      <c r="H164" s="12">
        <v>1</v>
      </c>
      <c r="I164" s="104" t="s">
        <v>22</v>
      </c>
      <c r="J164" s="107" t="s">
        <v>22</v>
      </c>
      <c r="K164" s="107" t="s">
        <v>22</v>
      </c>
      <c r="L164" s="36"/>
      <c r="M164" s="51"/>
      <c r="N164" s="53" t="s">
        <v>88</v>
      </c>
      <c r="O164" s="53"/>
      <c r="P164" s="38">
        <f>P165+P166</f>
        <v>16588800</v>
      </c>
      <c r="Q164" s="53"/>
      <c r="R164" s="82">
        <f t="shared" si="42"/>
        <v>16588800</v>
      </c>
      <c r="S164" s="82">
        <f>'LRA SP2D'!R165</f>
        <v>7384424</v>
      </c>
      <c r="T164" s="82"/>
      <c r="U164" s="82">
        <f>'LRA SP2D'!U165</f>
        <v>7703840</v>
      </c>
      <c r="V164" s="82"/>
      <c r="W164" s="82">
        <f t="shared" si="43"/>
        <v>7703840</v>
      </c>
      <c r="X164" s="170">
        <f t="shared" si="44"/>
        <v>8884960</v>
      </c>
      <c r="Y164" s="170">
        <f t="shared" si="49"/>
        <v>-319416</v>
      </c>
      <c r="Z164" s="170">
        <f t="shared" si="45"/>
        <v>-319416</v>
      </c>
      <c r="AA164" s="196">
        <f t="shared" si="46"/>
        <v>0.46440007716049381</v>
      </c>
      <c r="AB164" s="159"/>
      <c r="AC164" s="3"/>
      <c r="AD164" s="3"/>
      <c r="AE164" s="3"/>
    </row>
    <row r="165" spans="1:31" ht="33" customHeight="1">
      <c r="A165" s="67">
        <v>7</v>
      </c>
      <c r="B165" s="114" t="s">
        <v>19</v>
      </c>
      <c r="C165" s="114" t="s">
        <v>22</v>
      </c>
      <c r="D165" s="16">
        <v>2</v>
      </c>
      <c r="E165" s="105" t="s">
        <v>30</v>
      </c>
      <c r="F165" s="105" t="s">
        <v>19</v>
      </c>
      <c r="G165" s="16">
        <v>5</v>
      </c>
      <c r="H165" s="16">
        <v>1</v>
      </c>
      <c r="I165" s="105" t="s">
        <v>22</v>
      </c>
      <c r="J165" s="106" t="s">
        <v>22</v>
      </c>
      <c r="K165" s="106" t="s">
        <v>22</v>
      </c>
      <c r="L165" s="106" t="s">
        <v>27</v>
      </c>
      <c r="M165" s="51">
        <v>6</v>
      </c>
      <c r="N165" s="39" t="s">
        <v>178</v>
      </c>
      <c r="O165" s="34"/>
      <c r="P165" s="35">
        <f>'LRA SP2D'!O166</f>
        <v>4147200</v>
      </c>
      <c r="Q165" s="34"/>
      <c r="R165" s="81">
        <f t="shared" si="42"/>
        <v>4147200</v>
      </c>
      <c r="S165" s="81">
        <f>'LRA SP2D'!R166</f>
        <v>3328560</v>
      </c>
      <c r="T165" s="81"/>
      <c r="U165" s="81">
        <f>'LRA SP2D'!U166</f>
        <v>3557520</v>
      </c>
      <c r="V165" s="81"/>
      <c r="W165" s="81">
        <f t="shared" si="43"/>
        <v>3557520</v>
      </c>
      <c r="X165" s="161">
        <f t="shared" si="44"/>
        <v>589680</v>
      </c>
      <c r="Y165" s="161">
        <f t="shared" si="49"/>
        <v>-228960</v>
      </c>
      <c r="Z165" s="161">
        <f t="shared" si="45"/>
        <v>-228960</v>
      </c>
      <c r="AA165" s="199">
        <f t="shared" si="46"/>
        <v>0.85781249999999998</v>
      </c>
      <c r="AB165" s="3"/>
      <c r="AC165" s="3"/>
      <c r="AD165" s="3"/>
      <c r="AE165" s="3"/>
    </row>
    <row r="166" spans="1:31" ht="33" customHeight="1">
      <c r="A166" s="67">
        <v>7</v>
      </c>
      <c r="B166" s="114" t="s">
        <v>19</v>
      </c>
      <c r="C166" s="114" t="s">
        <v>22</v>
      </c>
      <c r="D166" s="16">
        <v>2</v>
      </c>
      <c r="E166" s="105" t="s">
        <v>30</v>
      </c>
      <c r="F166" s="105" t="s">
        <v>19</v>
      </c>
      <c r="G166" s="16">
        <v>5</v>
      </c>
      <c r="H166" s="16">
        <v>1</v>
      </c>
      <c r="I166" s="105" t="s">
        <v>22</v>
      </c>
      <c r="J166" s="106" t="s">
        <v>22</v>
      </c>
      <c r="K166" s="106" t="s">
        <v>22</v>
      </c>
      <c r="L166" s="106" t="s">
        <v>27</v>
      </c>
      <c r="M166" s="51">
        <v>7</v>
      </c>
      <c r="N166" s="34" t="s">
        <v>179</v>
      </c>
      <c r="O166" s="34"/>
      <c r="P166" s="35">
        <f>'LRA SP2D'!O167</f>
        <v>12441600</v>
      </c>
      <c r="Q166" s="34"/>
      <c r="R166" s="81">
        <f t="shared" si="42"/>
        <v>12441600</v>
      </c>
      <c r="S166" s="81">
        <f>'LRA SP2D'!R167</f>
        <v>4055864</v>
      </c>
      <c r="T166" s="81"/>
      <c r="U166" s="81">
        <f>'LRA SP2D'!U167</f>
        <v>4146320</v>
      </c>
      <c r="V166" s="81"/>
      <c r="W166" s="81">
        <f t="shared" si="43"/>
        <v>4146320</v>
      </c>
      <c r="X166" s="161">
        <f t="shared" si="44"/>
        <v>8295280</v>
      </c>
      <c r="Y166" s="161">
        <f t="shared" si="49"/>
        <v>-90456</v>
      </c>
      <c r="Z166" s="161">
        <f t="shared" si="45"/>
        <v>-90456</v>
      </c>
      <c r="AA166" s="199">
        <f t="shared" si="46"/>
        <v>0.33326260288065845</v>
      </c>
      <c r="AB166" s="3"/>
      <c r="AC166" s="3"/>
      <c r="AD166" s="3"/>
      <c r="AE166" s="3"/>
    </row>
    <row r="167" spans="1:31" ht="33" customHeight="1">
      <c r="A167" s="65">
        <v>7</v>
      </c>
      <c r="B167" s="113" t="s">
        <v>19</v>
      </c>
      <c r="C167" s="113" t="s">
        <v>22</v>
      </c>
      <c r="D167" s="12">
        <v>2</v>
      </c>
      <c r="E167" s="104" t="s">
        <v>30</v>
      </c>
      <c r="F167" s="104" t="s">
        <v>10</v>
      </c>
      <c r="G167" s="12">
        <v>5</v>
      </c>
      <c r="H167" s="12">
        <v>1</v>
      </c>
      <c r="I167" s="104" t="s">
        <v>22</v>
      </c>
      <c r="J167" s="107" t="s">
        <v>30</v>
      </c>
      <c r="K167" s="50"/>
      <c r="L167" s="36"/>
      <c r="M167" s="51"/>
      <c r="N167" s="53" t="s">
        <v>180</v>
      </c>
      <c r="O167" s="53"/>
      <c r="P167" s="38">
        <f>P168</f>
        <v>84170250</v>
      </c>
      <c r="Q167" s="53"/>
      <c r="R167" s="82">
        <f t="shared" si="42"/>
        <v>84170250</v>
      </c>
      <c r="S167" s="82">
        <f>'LRA SP2D'!R168</f>
        <v>81884012</v>
      </c>
      <c r="T167" s="82"/>
      <c r="U167" s="82">
        <f>U168</f>
        <v>81884012</v>
      </c>
      <c r="V167" s="82"/>
      <c r="W167" s="82">
        <f t="shared" si="43"/>
        <v>81884012</v>
      </c>
      <c r="X167" s="170">
        <f t="shared" si="44"/>
        <v>2286238</v>
      </c>
      <c r="Y167" s="170"/>
      <c r="Z167" s="170">
        <f t="shared" si="45"/>
        <v>0</v>
      </c>
      <c r="AA167" s="196">
        <f t="shared" si="46"/>
        <v>0.97283793264247165</v>
      </c>
      <c r="AB167" s="3"/>
      <c r="AC167" s="3"/>
      <c r="AD167" s="3"/>
      <c r="AE167" s="3"/>
    </row>
    <row r="168" spans="1:31" ht="33" customHeight="1">
      <c r="A168" s="65">
        <v>7</v>
      </c>
      <c r="B168" s="113" t="s">
        <v>19</v>
      </c>
      <c r="C168" s="113" t="s">
        <v>22</v>
      </c>
      <c r="D168" s="12">
        <v>2</v>
      </c>
      <c r="E168" s="104" t="s">
        <v>30</v>
      </c>
      <c r="F168" s="104" t="s">
        <v>19</v>
      </c>
      <c r="G168" s="12">
        <v>5</v>
      </c>
      <c r="H168" s="12">
        <v>1</v>
      </c>
      <c r="I168" s="104" t="s">
        <v>22</v>
      </c>
      <c r="J168" s="107" t="s">
        <v>30</v>
      </c>
      <c r="K168" s="107" t="s">
        <v>22</v>
      </c>
      <c r="L168" s="36"/>
      <c r="M168" s="51"/>
      <c r="N168" s="37" t="s">
        <v>97</v>
      </c>
      <c r="O168" s="53"/>
      <c r="P168" s="38">
        <f>P169</f>
        <v>84170250</v>
      </c>
      <c r="Q168" s="53"/>
      <c r="R168" s="82">
        <f t="shared" si="42"/>
        <v>84170250</v>
      </c>
      <c r="S168" s="82">
        <f>'LRA SP2D'!R169</f>
        <v>81884012</v>
      </c>
      <c r="T168" s="82"/>
      <c r="U168" s="82">
        <f>U169</f>
        <v>81884012</v>
      </c>
      <c r="V168" s="82"/>
      <c r="W168" s="82">
        <f t="shared" si="43"/>
        <v>81884012</v>
      </c>
      <c r="X168" s="170">
        <f t="shared" si="44"/>
        <v>2286238</v>
      </c>
      <c r="Y168" s="170"/>
      <c r="Z168" s="170">
        <f t="shared" si="45"/>
        <v>0</v>
      </c>
      <c r="AA168" s="196">
        <f t="shared" si="46"/>
        <v>0.97283793264247165</v>
      </c>
      <c r="AB168" s="3"/>
      <c r="AC168" s="3"/>
      <c r="AD168" s="3"/>
      <c r="AE168" s="3"/>
    </row>
    <row r="169" spans="1:31" ht="41.25" customHeight="1">
      <c r="A169" s="67">
        <v>7</v>
      </c>
      <c r="B169" s="114" t="s">
        <v>19</v>
      </c>
      <c r="C169" s="114" t="s">
        <v>22</v>
      </c>
      <c r="D169" s="16">
        <v>2</v>
      </c>
      <c r="E169" s="105" t="s">
        <v>30</v>
      </c>
      <c r="F169" s="105" t="s">
        <v>19</v>
      </c>
      <c r="G169" s="16">
        <v>5</v>
      </c>
      <c r="H169" s="16">
        <v>1</v>
      </c>
      <c r="I169" s="105" t="s">
        <v>22</v>
      </c>
      <c r="J169" s="106" t="s">
        <v>30</v>
      </c>
      <c r="K169" s="106" t="s">
        <v>22</v>
      </c>
      <c r="L169" s="106" t="s">
        <v>52</v>
      </c>
      <c r="M169" s="51">
        <v>9</v>
      </c>
      <c r="N169" s="39" t="s">
        <v>181</v>
      </c>
      <c r="O169" s="34"/>
      <c r="P169" s="35">
        <f>'LRA SP2D'!O170</f>
        <v>84170250</v>
      </c>
      <c r="Q169" s="34"/>
      <c r="R169" s="81">
        <f t="shared" si="42"/>
        <v>84170250</v>
      </c>
      <c r="S169" s="81">
        <f>'LRA SP2D'!R170</f>
        <v>81884012</v>
      </c>
      <c r="T169" s="81"/>
      <c r="U169" s="81">
        <f>'LRA SP2D'!U170</f>
        <v>81884012</v>
      </c>
      <c r="V169" s="81"/>
      <c r="W169" s="81">
        <f t="shared" si="43"/>
        <v>81884012</v>
      </c>
      <c r="X169" s="161">
        <f t="shared" si="44"/>
        <v>2286238</v>
      </c>
      <c r="Y169" s="161"/>
      <c r="Z169" s="161">
        <f t="shared" si="45"/>
        <v>0</v>
      </c>
      <c r="AA169" s="199">
        <f t="shared" si="46"/>
        <v>0.97283793264247165</v>
      </c>
      <c r="AB169" s="3"/>
      <c r="AC169" s="3"/>
      <c r="AD169" s="3"/>
      <c r="AE169" s="3"/>
    </row>
    <row r="170" spans="1:31" ht="16.3">
      <c r="A170" s="54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73"/>
      <c r="N170" s="126"/>
      <c r="O170" s="34"/>
      <c r="P170" s="34"/>
      <c r="Q170" s="34"/>
      <c r="R170" s="81"/>
      <c r="S170" s="34"/>
      <c r="T170" s="81"/>
      <c r="U170" s="81"/>
      <c r="V170" s="81"/>
      <c r="W170" s="81"/>
      <c r="X170" s="161"/>
      <c r="Y170" s="161"/>
      <c r="Z170" s="161"/>
      <c r="AA170" s="199"/>
      <c r="AB170" s="3"/>
      <c r="AC170" s="3"/>
      <c r="AD170" s="3"/>
      <c r="AE170" s="3"/>
    </row>
    <row r="171" spans="1:31" ht="63.75" customHeight="1">
      <c r="A171" s="58">
        <v>7</v>
      </c>
      <c r="B171" s="110" t="s">
        <v>19</v>
      </c>
      <c r="C171" s="110" t="s">
        <v>22</v>
      </c>
      <c r="D171" s="110" t="s">
        <v>64</v>
      </c>
      <c r="E171" s="59"/>
      <c r="F171" s="59"/>
      <c r="G171" s="59"/>
      <c r="H171" s="59"/>
      <c r="I171" s="59"/>
      <c r="J171" s="59"/>
      <c r="K171" s="59"/>
      <c r="L171" s="59"/>
      <c r="M171" s="77"/>
      <c r="N171" s="25" t="s">
        <v>111</v>
      </c>
      <c r="O171" s="40">
        <f>O173</f>
        <v>0</v>
      </c>
      <c r="P171" s="26">
        <f>P173</f>
        <v>2167856200</v>
      </c>
      <c r="Q171" s="40"/>
      <c r="R171" s="163">
        <f t="shared" si="42"/>
        <v>2167856200</v>
      </c>
      <c r="S171" s="26">
        <f>S173</f>
        <v>1923980680</v>
      </c>
      <c r="T171" s="163"/>
      <c r="U171" s="26">
        <f>U173</f>
        <v>2051071543</v>
      </c>
      <c r="V171" s="163"/>
      <c r="W171" s="163">
        <f t="shared" si="43"/>
        <v>2051071543</v>
      </c>
      <c r="X171" s="95">
        <f t="shared" si="44"/>
        <v>116784657</v>
      </c>
      <c r="Y171" s="95"/>
      <c r="Z171" s="95">
        <f t="shared" si="45"/>
        <v>-127090863</v>
      </c>
      <c r="AA171" s="197">
        <f t="shared" si="46"/>
        <v>0.94612896510386624</v>
      </c>
      <c r="AB171" s="3"/>
      <c r="AC171" s="3"/>
      <c r="AD171" s="3"/>
      <c r="AE171" s="3"/>
    </row>
    <row r="172" spans="1:31" ht="16.3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79"/>
      <c r="N172" s="125"/>
      <c r="O172" s="34"/>
      <c r="P172" s="34"/>
      <c r="Q172" s="34"/>
      <c r="R172" s="81"/>
      <c r="S172" s="34"/>
      <c r="T172" s="81"/>
      <c r="U172" s="34"/>
      <c r="V172" s="81"/>
      <c r="W172" s="81"/>
      <c r="X172" s="161"/>
      <c r="Y172" s="161"/>
      <c r="Z172" s="161"/>
      <c r="AA172" s="199"/>
      <c r="AB172" s="3"/>
      <c r="AC172" s="3"/>
      <c r="AD172" s="3"/>
      <c r="AE172" s="3"/>
    </row>
    <row r="173" spans="1:31" ht="75.75" customHeight="1">
      <c r="A173" s="62">
        <v>7</v>
      </c>
      <c r="B173" s="111" t="s">
        <v>19</v>
      </c>
      <c r="C173" s="111" t="s">
        <v>22</v>
      </c>
      <c r="D173" s="14">
        <v>2</v>
      </c>
      <c r="E173" s="112" t="s">
        <v>54</v>
      </c>
      <c r="F173" s="112" t="s">
        <v>30</v>
      </c>
      <c r="G173" s="64"/>
      <c r="H173" s="64"/>
      <c r="I173" s="64"/>
      <c r="J173" s="64"/>
      <c r="K173" s="64"/>
      <c r="L173" s="64"/>
      <c r="M173" s="80"/>
      <c r="N173" s="41" t="s">
        <v>202</v>
      </c>
      <c r="O173" s="164"/>
      <c r="P173" s="141">
        <f>P174</f>
        <v>2167856200</v>
      </c>
      <c r="Q173" s="164"/>
      <c r="R173" s="165">
        <f t="shared" si="42"/>
        <v>2167856200</v>
      </c>
      <c r="S173" s="141">
        <f>S174</f>
        <v>1923980680</v>
      </c>
      <c r="T173" s="165"/>
      <c r="U173" s="141">
        <f>U174</f>
        <v>2051071543</v>
      </c>
      <c r="V173" s="165"/>
      <c r="W173" s="165">
        <f t="shared" si="43"/>
        <v>2051071543</v>
      </c>
      <c r="X173" s="168">
        <f t="shared" si="44"/>
        <v>116784657</v>
      </c>
      <c r="Y173" s="168"/>
      <c r="Z173" s="168">
        <f t="shared" si="45"/>
        <v>-127090863</v>
      </c>
      <c r="AA173" s="198">
        <f t="shared" si="46"/>
        <v>0.94612896510386624</v>
      </c>
      <c r="AB173" s="3"/>
      <c r="AC173" s="3"/>
      <c r="AD173" s="3"/>
      <c r="AE173" s="3"/>
    </row>
    <row r="174" spans="1:31" ht="33.75" customHeight="1">
      <c r="A174" s="65">
        <v>7</v>
      </c>
      <c r="B174" s="113" t="s">
        <v>19</v>
      </c>
      <c r="C174" s="113" t="s">
        <v>22</v>
      </c>
      <c r="D174" s="12">
        <v>2</v>
      </c>
      <c r="E174" s="104" t="s">
        <v>54</v>
      </c>
      <c r="F174" s="104" t="s">
        <v>30</v>
      </c>
      <c r="G174" s="12">
        <v>5</v>
      </c>
      <c r="H174" s="12">
        <v>1</v>
      </c>
      <c r="I174" s="104" t="s">
        <v>22</v>
      </c>
      <c r="J174" s="50"/>
      <c r="K174" s="36"/>
      <c r="L174" s="36"/>
      <c r="M174" s="51"/>
      <c r="N174" s="53" t="s">
        <v>49</v>
      </c>
      <c r="O174" s="53"/>
      <c r="P174" s="38">
        <f>P175+P189+P198+P202</f>
        <v>2167856200</v>
      </c>
      <c r="Q174" s="53"/>
      <c r="R174" s="82">
        <f t="shared" si="42"/>
        <v>2167856200</v>
      </c>
      <c r="S174" s="38">
        <f>S175+S189+S198+S202</f>
        <v>1923980680</v>
      </c>
      <c r="T174" s="82"/>
      <c r="U174" s="38">
        <f>U175+U189+U198+U202</f>
        <v>2051071543</v>
      </c>
      <c r="V174" s="82"/>
      <c r="W174" s="82">
        <f t="shared" si="43"/>
        <v>2051071543</v>
      </c>
      <c r="X174" s="170">
        <f t="shared" si="44"/>
        <v>116784657</v>
      </c>
      <c r="Y174" s="170"/>
      <c r="Z174" s="170">
        <f t="shared" si="45"/>
        <v>-127090863</v>
      </c>
      <c r="AA174" s="196">
        <f t="shared" si="46"/>
        <v>0.94612896510386624</v>
      </c>
      <c r="AB174" s="3"/>
      <c r="AC174" s="3"/>
      <c r="AD174" s="3"/>
      <c r="AE174" s="3"/>
    </row>
    <row r="175" spans="1:31" ht="33.75" customHeight="1">
      <c r="A175" s="65">
        <v>7</v>
      </c>
      <c r="B175" s="113" t="s">
        <v>19</v>
      </c>
      <c r="C175" s="113" t="s">
        <v>22</v>
      </c>
      <c r="D175" s="12">
        <v>2</v>
      </c>
      <c r="E175" s="104" t="s">
        <v>54</v>
      </c>
      <c r="F175" s="104" t="s">
        <v>30</v>
      </c>
      <c r="G175" s="12">
        <v>5</v>
      </c>
      <c r="H175" s="12">
        <v>1</v>
      </c>
      <c r="I175" s="104" t="s">
        <v>22</v>
      </c>
      <c r="J175" s="107" t="s">
        <v>19</v>
      </c>
      <c r="K175" s="36"/>
      <c r="L175" s="36"/>
      <c r="M175" s="51"/>
      <c r="N175" s="53" t="s">
        <v>65</v>
      </c>
      <c r="O175" s="53"/>
      <c r="P175" s="38">
        <f>P176</f>
        <v>512753450</v>
      </c>
      <c r="Q175" s="53"/>
      <c r="R175" s="82">
        <f t="shared" si="42"/>
        <v>512753450</v>
      </c>
      <c r="S175" s="38">
        <f>S176</f>
        <v>429283430</v>
      </c>
      <c r="T175" s="82"/>
      <c r="U175" s="38">
        <f>U176</f>
        <v>444349293</v>
      </c>
      <c r="V175" s="82"/>
      <c r="W175" s="82">
        <f t="shared" si="43"/>
        <v>444349293</v>
      </c>
      <c r="X175" s="170">
        <f t="shared" si="44"/>
        <v>68404157</v>
      </c>
      <c r="Y175" s="170"/>
      <c r="Z175" s="170">
        <f t="shared" si="45"/>
        <v>-15065863</v>
      </c>
      <c r="AA175" s="196">
        <f t="shared" si="46"/>
        <v>0.86659444807246055</v>
      </c>
      <c r="AB175" s="3"/>
      <c r="AC175" s="3"/>
      <c r="AD175" s="3"/>
      <c r="AE175" s="3"/>
    </row>
    <row r="176" spans="1:31" ht="33.75" customHeight="1">
      <c r="A176" s="65">
        <v>7</v>
      </c>
      <c r="B176" s="113" t="s">
        <v>19</v>
      </c>
      <c r="C176" s="113" t="s">
        <v>22</v>
      </c>
      <c r="D176" s="12">
        <v>2</v>
      </c>
      <c r="E176" s="104" t="s">
        <v>54</v>
      </c>
      <c r="F176" s="104" t="s">
        <v>30</v>
      </c>
      <c r="G176" s="12">
        <v>5</v>
      </c>
      <c r="H176" s="12">
        <v>1</v>
      </c>
      <c r="I176" s="104" t="s">
        <v>22</v>
      </c>
      <c r="J176" s="107" t="s">
        <v>19</v>
      </c>
      <c r="K176" s="107" t="s">
        <v>19</v>
      </c>
      <c r="L176" s="36"/>
      <c r="M176" s="51"/>
      <c r="N176" s="53" t="s">
        <v>51</v>
      </c>
      <c r="O176" s="53"/>
      <c r="P176" s="38">
        <f>SUM(P177:P188)</f>
        <v>512753450</v>
      </c>
      <c r="Q176" s="53"/>
      <c r="R176" s="82">
        <f>O176+P176+Q176</f>
        <v>512753450</v>
      </c>
      <c r="S176" s="38">
        <f>SUM(S177:S188)</f>
        <v>429283430</v>
      </c>
      <c r="T176" s="82"/>
      <c r="U176" s="38">
        <f>SUM(U177:U188)</f>
        <v>444349293</v>
      </c>
      <c r="V176" s="82"/>
      <c r="W176" s="82">
        <f t="shared" si="43"/>
        <v>444349293</v>
      </c>
      <c r="X176" s="170">
        <f t="shared" si="44"/>
        <v>68404157</v>
      </c>
      <c r="Y176" s="170"/>
      <c r="Z176" s="170">
        <f t="shared" si="45"/>
        <v>-15065863</v>
      </c>
      <c r="AA176" s="196">
        <f t="shared" si="46"/>
        <v>0.86659444807246055</v>
      </c>
      <c r="AB176" s="3"/>
      <c r="AC176" s="3"/>
      <c r="AD176" s="3"/>
      <c r="AE176" s="3"/>
    </row>
    <row r="177" spans="1:31" ht="33.75" customHeight="1">
      <c r="A177" s="384">
        <v>7</v>
      </c>
      <c r="B177" s="385" t="s">
        <v>19</v>
      </c>
      <c r="C177" s="385" t="s">
        <v>22</v>
      </c>
      <c r="D177" s="307">
        <v>2</v>
      </c>
      <c r="E177" s="306" t="s">
        <v>54</v>
      </c>
      <c r="F177" s="306" t="s">
        <v>30</v>
      </c>
      <c r="G177" s="307">
        <v>5</v>
      </c>
      <c r="H177" s="307">
        <v>1</v>
      </c>
      <c r="I177" s="306" t="s">
        <v>22</v>
      </c>
      <c r="J177" s="314" t="s">
        <v>19</v>
      </c>
      <c r="K177" s="314" t="s">
        <v>19</v>
      </c>
      <c r="L177" s="314" t="s">
        <v>171</v>
      </c>
      <c r="M177" s="326">
        <v>2</v>
      </c>
      <c r="N177" s="309" t="s">
        <v>258</v>
      </c>
      <c r="O177" s="53"/>
      <c r="P177" s="35">
        <f>'LRA SP2D'!O178</f>
        <v>8000000</v>
      </c>
      <c r="Q177" s="53"/>
      <c r="R177" s="81">
        <f t="shared" si="42"/>
        <v>8000000</v>
      </c>
      <c r="S177" s="35">
        <f>'LRA SP2D'!R178</f>
        <v>2704000</v>
      </c>
      <c r="T177" s="82"/>
      <c r="U177" s="35">
        <f>'LRA SP2D'!U178</f>
        <v>2704000</v>
      </c>
      <c r="V177" s="82"/>
      <c r="W177" s="81">
        <f>SUM(T177:V177)</f>
        <v>2704000</v>
      </c>
      <c r="X177" s="161">
        <f t="shared" si="44"/>
        <v>5296000</v>
      </c>
      <c r="Y177" s="161"/>
      <c r="Z177" s="161">
        <f t="shared" si="45"/>
        <v>0</v>
      </c>
      <c r="AA177" s="199">
        <f t="shared" si="46"/>
        <v>0.33800000000000002</v>
      </c>
      <c r="AB177" s="3"/>
      <c r="AC177" s="3"/>
      <c r="AD177" s="3"/>
      <c r="AE177" s="3"/>
    </row>
    <row r="178" spans="1:31" ht="33.75" customHeight="1">
      <c r="A178" s="67">
        <v>7</v>
      </c>
      <c r="B178" s="114" t="s">
        <v>19</v>
      </c>
      <c r="C178" s="114" t="s">
        <v>22</v>
      </c>
      <c r="D178" s="16">
        <v>2</v>
      </c>
      <c r="E178" s="105" t="s">
        <v>54</v>
      </c>
      <c r="F178" s="105" t="s">
        <v>30</v>
      </c>
      <c r="G178" s="16">
        <v>5</v>
      </c>
      <c r="H178" s="16">
        <v>1</v>
      </c>
      <c r="I178" s="105" t="s">
        <v>22</v>
      </c>
      <c r="J178" s="106" t="s">
        <v>19</v>
      </c>
      <c r="K178" s="106" t="s">
        <v>19</v>
      </c>
      <c r="L178" s="106" t="s">
        <v>56</v>
      </c>
      <c r="M178" s="51">
        <v>4</v>
      </c>
      <c r="N178" s="34" t="s">
        <v>57</v>
      </c>
      <c r="O178" s="34"/>
      <c r="P178" s="35">
        <f>'LRA SP2D'!O179</f>
        <v>7581250</v>
      </c>
      <c r="Q178" s="34"/>
      <c r="R178" s="81">
        <f t="shared" si="42"/>
        <v>7581250</v>
      </c>
      <c r="S178" s="81">
        <f>'LRA SP2D'!R179</f>
        <v>5797930</v>
      </c>
      <c r="T178" s="81"/>
      <c r="U178" s="81">
        <f>'LRA SP2D'!U179</f>
        <v>6314630</v>
      </c>
      <c r="V178" s="81"/>
      <c r="W178" s="81">
        <f t="shared" si="43"/>
        <v>6314630</v>
      </c>
      <c r="X178" s="161">
        <f t="shared" si="44"/>
        <v>1266620</v>
      </c>
      <c r="Y178" s="161"/>
      <c r="Z178" s="161">
        <f t="shared" si="45"/>
        <v>-516700</v>
      </c>
      <c r="AA178" s="199">
        <f t="shared" si="46"/>
        <v>0.83292728771640556</v>
      </c>
      <c r="AB178" s="3"/>
      <c r="AC178" s="3"/>
      <c r="AD178" s="3"/>
      <c r="AE178" s="3"/>
    </row>
    <row r="179" spans="1:31" ht="33.75" customHeight="1">
      <c r="A179" s="67">
        <v>7</v>
      </c>
      <c r="B179" s="114" t="s">
        <v>19</v>
      </c>
      <c r="C179" s="114" t="s">
        <v>22</v>
      </c>
      <c r="D179" s="16">
        <v>2</v>
      </c>
      <c r="E179" s="105" t="s">
        <v>54</v>
      </c>
      <c r="F179" s="105" t="s">
        <v>30</v>
      </c>
      <c r="G179" s="16">
        <v>5</v>
      </c>
      <c r="H179" s="16">
        <v>1</v>
      </c>
      <c r="I179" s="105" t="s">
        <v>22</v>
      </c>
      <c r="J179" s="106" t="s">
        <v>19</v>
      </c>
      <c r="K179" s="106" t="s">
        <v>19</v>
      </c>
      <c r="L179" s="106" t="s">
        <v>56</v>
      </c>
      <c r="M179" s="51">
        <v>5</v>
      </c>
      <c r="N179" s="39" t="s">
        <v>58</v>
      </c>
      <c r="O179" s="34"/>
      <c r="P179" s="35">
        <f>'LRA SP2D'!O180</f>
        <v>6881000</v>
      </c>
      <c r="Q179" s="34"/>
      <c r="R179" s="81">
        <f t="shared" si="42"/>
        <v>6881000</v>
      </c>
      <c r="S179" s="81">
        <f>'LRA SP2D'!R180</f>
        <v>3275200</v>
      </c>
      <c r="T179" s="81"/>
      <c r="U179" s="81">
        <f>'LRA SP2D'!U180</f>
        <v>4492200</v>
      </c>
      <c r="V179" s="81"/>
      <c r="W179" s="81">
        <f t="shared" si="43"/>
        <v>4492200</v>
      </c>
      <c r="X179" s="161">
        <f t="shared" si="44"/>
        <v>2388800</v>
      </c>
      <c r="Y179" s="161"/>
      <c r="Z179" s="161">
        <f t="shared" si="45"/>
        <v>-1217000</v>
      </c>
      <c r="AA179" s="199">
        <f t="shared" si="46"/>
        <v>0.65284115680860344</v>
      </c>
      <c r="AB179" s="3"/>
      <c r="AC179" s="3"/>
      <c r="AD179" s="3"/>
      <c r="AE179" s="3"/>
    </row>
    <row r="180" spans="1:31" ht="45.75" customHeight="1">
      <c r="A180" s="67">
        <v>7</v>
      </c>
      <c r="B180" s="114" t="s">
        <v>19</v>
      </c>
      <c r="C180" s="114" t="s">
        <v>22</v>
      </c>
      <c r="D180" s="16">
        <v>2</v>
      </c>
      <c r="E180" s="105" t="s">
        <v>54</v>
      </c>
      <c r="F180" s="105" t="s">
        <v>30</v>
      </c>
      <c r="G180" s="16">
        <v>5</v>
      </c>
      <c r="H180" s="16">
        <v>1</v>
      </c>
      <c r="I180" s="105" t="s">
        <v>22</v>
      </c>
      <c r="J180" s="106" t="s">
        <v>19</v>
      </c>
      <c r="K180" s="106" t="s">
        <v>19</v>
      </c>
      <c r="L180" s="106" t="s">
        <v>56</v>
      </c>
      <c r="M180" s="51">
        <v>6</v>
      </c>
      <c r="N180" s="39" t="s">
        <v>62</v>
      </c>
      <c r="O180" s="34"/>
      <c r="P180" s="35">
        <f>'LRA SP2D'!O181</f>
        <v>57656200</v>
      </c>
      <c r="Q180" s="34"/>
      <c r="R180" s="81">
        <f t="shared" si="42"/>
        <v>57656200</v>
      </c>
      <c r="S180" s="81">
        <f>'LRA SP2D'!R181</f>
        <v>47559150</v>
      </c>
      <c r="T180" s="81"/>
      <c r="U180" s="81">
        <f>'LRA SP2D'!U181</f>
        <v>49755900</v>
      </c>
      <c r="V180" s="81"/>
      <c r="W180" s="81">
        <f t="shared" si="43"/>
        <v>49755900</v>
      </c>
      <c r="X180" s="161">
        <f t="shared" si="44"/>
        <v>7900300</v>
      </c>
      <c r="Y180" s="161"/>
      <c r="Z180" s="161">
        <f t="shared" si="45"/>
        <v>-2196750</v>
      </c>
      <c r="AA180" s="199">
        <f t="shared" si="46"/>
        <v>0.86297570772961107</v>
      </c>
      <c r="AB180" s="3"/>
      <c r="AC180" s="3"/>
      <c r="AD180" s="3"/>
      <c r="AE180" s="3"/>
    </row>
    <row r="181" spans="1:31" ht="48.75" customHeight="1">
      <c r="A181" s="67">
        <v>7</v>
      </c>
      <c r="B181" s="114" t="s">
        <v>19</v>
      </c>
      <c r="C181" s="114" t="s">
        <v>22</v>
      </c>
      <c r="D181" s="16">
        <v>2</v>
      </c>
      <c r="E181" s="105" t="s">
        <v>54</v>
      </c>
      <c r="F181" s="105" t="s">
        <v>30</v>
      </c>
      <c r="G181" s="16">
        <v>5</v>
      </c>
      <c r="H181" s="16">
        <v>1</v>
      </c>
      <c r="I181" s="105" t="s">
        <v>22</v>
      </c>
      <c r="J181" s="106" t="s">
        <v>19</v>
      </c>
      <c r="K181" s="106" t="s">
        <v>19</v>
      </c>
      <c r="L181" s="106" t="s">
        <v>56</v>
      </c>
      <c r="M181" s="51">
        <v>9</v>
      </c>
      <c r="N181" s="39" t="s">
        <v>59</v>
      </c>
      <c r="O181" s="34"/>
      <c r="P181" s="35">
        <f>'LRA SP2D'!O182</f>
        <v>1550000</v>
      </c>
      <c r="Q181" s="34"/>
      <c r="R181" s="81">
        <f t="shared" si="42"/>
        <v>1550000</v>
      </c>
      <c r="S181" s="81">
        <f>'LRA SP2D'!R182</f>
        <v>1000000</v>
      </c>
      <c r="T181" s="81"/>
      <c r="U181" s="81">
        <f>'LRA SP2D'!U182</f>
        <v>1000000</v>
      </c>
      <c r="V181" s="81"/>
      <c r="W181" s="81">
        <f t="shared" si="43"/>
        <v>1000000</v>
      </c>
      <c r="X181" s="161">
        <f t="shared" si="44"/>
        <v>550000</v>
      </c>
      <c r="Y181" s="161">
        <f t="shared" si="49"/>
        <v>0</v>
      </c>
      <c r="Z181" s="161">
        <f t="shared" si="45"/>
        <v>0</v>
      </c>
      <c r="AA181" s="199">
        <f t="shared" si="46"/>
        <v>0.64516129032258063</v>
      </c>
      <c r="AB181" s="3"/>
      <c r="AC181" s="3"/>
      <c r="AD181" s="3"/>
      <c r="AE181" s="3"/>
    </row>
    <row r="182" spans="1:31" ht="33.75" customHeight="1">
      <c r="A182" s="67">
        <v>7</v>
      </c>
      <c r="B182" s="114" t="s">
        <v>19</v>
      </c>
      <c r="C182" s="114" t="s">
        <v>22</v>
      </c>
      <c r="D182" s="16">
        <v>2</v>
      </c>
      <c r="E182" s="105" t="s">
        <v>54</v>
      </c>
      <c r="F182" s="105" t="s">
        <v>30</v>
      </c>
      <c r="G182" s="16">
        <v>5</v>
      </c>
      <c r="H182" s="16">
        <v>1</v>
      </c>
      <c r="I182" s="105" t="s">
        <v>22</v>
      </c>
      <c r="J182" s="106" t="s">
        <v>19</v>
      </c>
      <c r="K182" s="106" t="s">
        <v>19</v>
      </c>
      <c r="L182" s="106" t="s">
        <v>52</v>
      </c>
      <c r="M182" s="51">
        <v>0</v>
      </c>
      <c r="N182" s="39" t="s">
        <v>112</v>
      </c>
      <c r="O182" s="34"/>
      <c r="P182" s="35">
        <f>'LRA SP2D'!O183</f>
        <v>1600000</v>
      </c>
      <c r="Q182" s="34"/>
      <c r="R182" s="81">
        <f t="shared" si="42"/>
        <v>1600000</v>
      </c>
      <c r="S182" s="81">
        <f>'LRA SP2D'!R183</f>
        <v>400000</v>
      </c>
      <c r="T182" s="81"/>
      <c r="U182" s="81">
        <f>'LRA SP2D'!U183</f>
        <v>400000</v>
      </c>
      <c r="V182" s="81"/>
      <c r="W182" s="81">
        <f t="shared" si="43"/>
        <v>400000</v>
      </c>
      <c r="X182" s="161">
        <f t="shared" si="44"/>
        <v>1200000</v>
      </c>
      <c r="Y182" s="161">
        <f t="shared" si="49"/>
        <v>0</v>
      </c>
      <c r="Z182" s="161">
        <f t="shared" si="45"/>
        <v>0</v>
      </c>
      <c r="AA182" s="199">
        <f t="shared" si="46"/>
        <v>0.25</v>
      </c>
      <c r="AB182" s="3"/>
      <c r="AC182" s="3"/>
      <c r="AD182" s="3"/>
      <c r="AE182" s="3"/>
    </row>
    <row r="183" spans="1:31" ht="33.75" customHeight="1">
      <c r="A183" s="67">
        <v>7</v>
      </c>
      <c r="B183" s="114" t="s">
        <v>19</v>
      </c>
      <c r="C183" s="114" t="s">
        <v>22</v>
      </c>
      <c r="D183" s="16">
        <v>2</v>
      </c>
      <c r="E183" s="105" t="s">
        <v>54</v>
      </c>
      <c r="F183" s="105" t="s">
        <v>30</v>
      </c>
      <c r="G183" s="16">
        <v>5</v>
      </c>
      <c r="H183" s="16">
        <v>1</v>
      </c>
      <c r="I183" s="105" t="s">
        <v>22</v>
      </c>
      <c r="J183" s="106" t="s">
        <v>19</v>
      </c>
      <c r="K183" s="106" t="s">
        <v>19</v>
      </c>
      <c r="L183" s="106" t="s">
        <v>52</v>
      </c>
      <c r="M183" s="51">
        <v>5</v>
      </c>
      <c r="N183" s="318" t="s">
        <v>260</v>
      </c>
      <c r="O183" s="34"/>
      <c r="P183" s="35">
        <f>'LRA SP2D'!O184</f>
        <v>10000000</v>
      </c>
      <c r="Q183" s="34"/>
      <c r="R183" s="81">
        <f t="shared" si="42"/>
        <v>10000000</v>
      </c>
      <c r="S183" s="81">
        <f>'LRA SP2D'!R184</f>
        <v>7757000</v>
      </c>
      <c r="T183" s="81"/>
      <c r="U183" s="81">
        <f>'LRA SP2D'!U184</f>
        <v>7757000</v>
      </c>
      <c r="V183" s="81"/>
      <c r="W183" s="81">
        <f t="shared" si="43"/>
        <v>7757000</v>
      </c>
      <c r="X183" s="161">
        <f t="shared" si="44"/>
        <v>2243000</v>
      </c>
      <c r="Y183" s="161">
        <f t="shared" si="49"/>
        <v>0</v>
      </c>
      <c r="Z183" s="161">
        <f t="shared" si="45"/>
        <v>0</v>
      </c>
      <c r="AA183" s="199">
        <f t="shared" si="46"/>
        <v>0.77569999999999995</v>
      </c>
      <c r="AB183" s="3"/>
      <c r="AC183" s="3"/>
      <c r="AD183" s="3"/>
      <c r="AE183" s="3"/>
    </row>
    <row r="184" spans="1:31" ht="33.75" customHeight="1">
      <c r="A184" s="67">
        <v>7</v>
      </c>
      <c r="B184" s="114" t="s">
        <v>19</v>
      </c>
      <c r="C184" s="114" t="s">
        <v>22</v>
      </c>
      <c r="D184" s="16">
        <v>2</v>
      </c>
      <c r="E184" s="105" t="s">
        <v>54</v>
      </c>
      <c r="F184" s="105" t="s">
        <v>30</v>
      </c>
      <c r="G184" s="16">
        <v>5</v>
      </c>
      <c r="H184" s="16">
        <v>1</v>
      </c>
      <c r="I184" s="105" t="s">
        <v>22</v>
      </c>
      <c r="J184" s="106" t="s">
        <v>19</v>
      </c>
      <c r="K184" s="106" t="s">
        <v>19</v>
      </c>
      <c r="L184" s="106" t="s">
        <v>66</v>
      </c>
      <c r="M184" s="51">
        <v>2</v>
      </c>
      <c r="N184" s="34" t="s">
        <v>67</v>
      </c>
      <c r="O184" s="34"/>
      <c r="P184" s="35">
        <f>'LRA SP2D'!O185</f>
        <v>119470000</v>
      </c>
      <c r="Q184" s="34"/>
      <c r="R184" s="81">
        <f t="shared" si="42"/>
        <v>119470000</v>
      </c>
      <c r="S184" s="81">
        <f>'LRA SP2D'!R185</f>
        <v>88092900</v>
      </c>
      <c r="T184" s="81"/>
      <c r="U184" s="81">
        <f>'LRA SP2D'!U185</f>
        <v>92629688</v>
      </c>
      <c r="V184" s="81"/>
      <c r="W184" s="81">
        <f t="shared" si="43"/>
        <v>92629688</v>
      </c>
      <c r="X184" s="161">
        <f t="shared" si="44"/>
        <v>26840312</v>
      </c>
      <c r="Y184" s="161"/>
      <c r="Z184" s="161">
        <f t="shared" si="45"/>
        <v>-4536788</v>
      </c>
      <c r="AA184" s="199">
        <f t="shared" si="46"/>
        <v>0.77533847827906588</v>
      </c>
      <c r="AB184" s="3"/>
      <c r="AC184" s="3"/>
      <c r="AD184" s="3"/>
      <c r="AE184" s="3"/>
    </row>
    <row r="185" spans="1:31" ht="38.25" customHeight="1">
      <c r="A185" s="67">
        <v>7</v>
      </c>
      <c r="B185" s="114" t="s">
        <v>19</v>
      </c>
      <c r="C185" s="114" t="s">
        <v>22</v>
      </c>
      <c r="D185" s="16">
        <v>2</v>
      </c>
      <c r="E185" s="105" t="s">
        <v>54</v>
      </c>
      <c r="F185" s="105" t="s">
        <v>30</v>
      </c>
      <c r="G185" s="16">
        <v>5</v>
      </c>
      <c r="H185" s="16">
        <v>1</v>
      </c>
      <c r="I185" s="105" t="s">
        <v>22</v>
      </c>
      <c r="J185" s="106" t="s">
        <v>19</v>
      </c>
      <c r="K185" s="106" t="s">
        <v>19</v>
      </c>
      <c r="L185" s="106" t="s">
        <v>66</v>
      </c>
      <c r="M185" s="51">
        <v>6</v>
      </c>
      <c r="N185" s="39" t="s">
        <v>201</v>
      </c>
      <c r="O185" s="34"/>
      <c r="P185" s="35">
        <f>'LRA SP2D'!O186</f>
        <v>207660000</v>
      </c>
      <c r="Q185" s="34"/>
      <c r="R185" s="81">
        <f t="shared" si="42"/>
        <v>207660000</v>
      </c>
      <c r="S185" s="81">
        <f>'LRA SP2D'!R186</f>
        <v>185278250</v>
      </c>
      <c r="T185" s="81"/>
      <c r="U185" s="81">
        <f>'LRA SP2D'!U186</f>
        <v>191876875</v>
      </c>
      <c r="V185" s="81"/>
      <c r="W185" s="81">
        <f t="shared" si="43"/>
        <v>191876875</v>
      </c>
      <c r="X185" s="161">
        <f t="shared" si="44"/>
        <v>15783125</v>
      </c>
      <c r="Y185" s="161"/>
      <c r="Z185" s="161">
        <f t="shared" si="45"/>
        <v>-6598625</v>
      </c>
      <c r="AA185" s="199">
        <f t="shared" si="46"/>
        <v>0.92399535298083402</v>
      </c>
      <c r="AB185" s="3"/>
      <c r="AC185" s="3"/>
      <c r="AD185" s="3"/>
      <c r="AE185" s="3"/>
    </row>
    <row r="186" spans="1:31" ht="51.75" customHeight="1">
      <c r="A186" s="67">
        <v>7</v>
      </c>
      <c r="B186" s="114" t="s">
        <v>19</v>
      </c>
      <c r="C186" s="114" t="s">
        <v>22</v>
      </c>
      <c r="D186" s="16">
        <v>2</v>
      </c>
      <c r="E186" s="105" t="s">
        <v>54</v>
      </c>
      <c r="F186" s="105" t="s">
        <v>30</v>
      </c>
      <c r="G186" s="16">
        <v>5</v>
      </c>
      <c r="H186" s="16">
        <v>1</v>
      </c>
      <c r="I186" s="105" t="s">
        <v>22</v>
      </c>
      <c r="J186" s="106" t="s">
        <v>19</v>
      </c>
      <c r="K186" s="106" t="s">
        <v>19</v>
      </c>
      <c r="L186" s="106" t="s">
        <v>66</v>
      </c>
      <c r="M186" s="51">
        <v>8</v>
      </c>
      <c r="N186" s="39" t="s">
        <v>113</v>
      </c>
      <c r="O186" s="34"/>
      <c r="P186" s="35">
        <f>'LRA SP2D'!O187</f>
        <v>51805000</v>
      </c>
      <c r="Q186" s="34"/>
      <c r="R186" s="81">
        <f t="shared" si="42"/>
        <v>51805000</v>
      </c>
      <c r="S186" s="81">
        <f>'LRA SP2D'!R187</f>
        <v>47522750</v>
      </c>
      <c r="T186" s="81"/>
      <c r="U186" s="81">
        <f>'LRA SP2D'!U187</f>
        <v>47522750</v>
      </c>
      <c r="V186" s="81"/>
      <c r="W186" s="81">
        <f t="shared" si="43"/>
        <v>47522750</v>
      </c>
      <c r="X186" s="161">
        <f t="shared" si="44"/>
        <v>4282250</v>
      </c>
      <c r="Y186" s="161"/>
      <c r="Z186" s="161">
        <f t="shared" si="45"/>
        <v>0</v>
      </c>
      <c r="AA186" s="199">
        <f t="shared" si="46"/>
        <v>0.91733905993629961</v>
      </c>
      <c r="AB186" s="3"/>
      <c r="AC186" s="3"/>
      <c r="AD186" s="3"/>
      <c r="AE186" s="3"/>
    </row>
    <row r="187" spans="1:31" ht="34.5" customHeight="1">
      <c r="A187" s="384">
        <v>7</v>
      </c>
      <c r="B187" s="385" t="s">
        <v>19</v>
      </c>
      <c r="C187" s="385" t="s">
        <v>22</v>
      </c>
      <c r="D187" s="307">
        <v>2</v>
      </c>
      <c r="E187" s="306" t="s">
        <v>54</v>
      </c>
      <c r="F187" s="306" t="s">
        <v>30</v>
      </c>
      <c r="G187" s="307">
        <v>5</v>
      </c>
      <c r="H187" s="307">
        <v>1</v>
      </c>
      <c r="I187" s="306" t="s">
        <v>22</v>
      </c>
      <c r="J187" s="314" t="s">
        <v>19</v>
      </c>
      <c r="K187" s="314" t="s">
        <v>19</v>
      </c>
      <c r="L187" s="314" t="s">
        <v>128</v>
      </c>
      <c r="M187" s="326">
        <v>5</v>
      </c>
      <c r="N187" s="309" t="s">
        <v>150</v>
      </c>
      <c r="O187" s="34"/>
      <c r="P187" s="35">
        <f>'LRA SP2D'!O188</f>
        <v>36350000</v>
      </c>
      <c r="Q187" s="34"/>
      <c r="R187" s="81">
        <f t="shared" si="42"/>
        <v>36350000</v>
      </c>
      <c r="S187" s="81">
        <f>'LRA SP2D'!R188</f>
        <v>35696250</v>
      </c>
      <c r="T187" s="81"/>
      <c r="U187" s="81">
        <f>'LRA SP2D'!U188</f>
        <v>35696250</v>
      </c>
      <c r="V187" s="81"/>
      <c r="W187" s="81">
        <f t="shared" si="43"/>
        <v>35696250</v>
      </c>
      <c r="X187" s="161">
        <f t="shared" si="44"/>
        <v>653750</v>
      </c>
      <c r="Y187" s="161"/>
      <c r="Z187" s="161">
        <f t="shared" ref="Z187:Z188" si="50">S187-W187</f>
        <v>0</v>
      </c>
      <c r="AA187" s="199">
        <v>0</v>
      </c>
      <c r="AB187" s="3"/>
      <c r="AC187" s="3"/>
      <c r="AD187" s="3"/>
      <c r="AE187" s="3"/>
    </row>
    <row r="188" spans="1:31" ht="34.5" customHeight="1">
      <c r="A188" s="384">
        <v>7</v>
      </c>
      <c r="B188" s="385" t="s">
        <v>19</v>
      </c>
      <c r="C188" s="385" t="s">
        <v>22</v>
      </c>
      <c r="D188" s="307">
        <v>2</v>
      </c>
      <c r="E188" s="306" t="s">
        <v>54</v>
      </c>
      <c r="F188" s="306" t="s">
        <v>30</v>
      </c>
      <c r="G188" s="307">
        <v>5</v>
      </c>
      <c r="H188" s="307">
        <v>1</v>
      </c>
      <c r="I188" s="306" t="s">
        <v>22</v>
      </c>
      <c r="J188" s="314" t="s">
        <v>19</v>
      </c>
      <c r="K188" s="314" t="s">
        <v>19</v>
      </c>
      <c r="L188" s="314" t="s">
        <v>128</v>
      </c>
      <c r="M188" s="326">
        <v>6</v>
      </c>
      <c r="N188" s="309" t="s">
        <v>286</v>
      </c>
      <c r="O188" s="34"/>
      <c r="P188" s="35">
        <f>'LRA SP2D'!O189</f>
        <v>4200000</v>
      </c>
      <c r="Q188" s="34"/>
      <c r="R188" s="81">
        <f t="shared" si="42"/>
        <v>4200000</v>
      </c>
      <c r="S188" s="81">
        <f>'LRA SP2D'!R189</f>
        <v>4200000</v>
      </c>
      <c r="T188" s="81"/>
      <c r="U188" s="81">
        <f>'LRA SP2D'!U189</f>
        <v>4200000</v>
      </c>
      <c r="V188" s="81"/>
      <c r="W188" s="81">
        <f t="shared" ref="W188" si="51">T188+U188+V188</f>
        <v>4200000</v>
      </c>
      <c r="X188" s="161">
        <f t="shared" ref="X188" si="52">R188-W188</f>
        <v>0</v>
      </c>
      <c r="Y188" s="161"/>
      <c r="Z188" s="161">
        <f t="shared" si="50"/>
        <v>0</v>
      </c>
      <c r="AA188" s="199">
        <v>0</v>
      </c>
      <c r="AB188" s="3"/>
      <c r="AC188" s="3"/>
      <c r="AD188" s="3"/>
      <c r="AE188" s="3"/>
    </row>
    <row r="189" spans="1:31" ht="25.5" customHeight="1">
      <c r="A189" s="65">
        <v>7</v>
      </c>
      <c r="B189" s="113" t="s">
        <v>19</v>
      </c>
      <c r="C189" s="113" t="s">
        <v>22</v>
      </c>
      <c r="D189" s="12">
        <v>2</v>
      </c>
      <c r="E189" s="104" t="s">
        <v>54</v>
      </c>
      <c r="F189" s="104" t="s">
        <v>30</v>
      </c>
      <c r="G189" s="12">
        <v>5</v>
      </c>
      <c r="H189" s="12">
        <v>1</v>
      </c>
      <c r="I189" s="104" t="s">
        <v>22</v>
      </c>
      <c r="J189" s="107" t="s">
        <v>22</v>
      </c>
      <c r="K189" s="36"/>
      <c r="L189" s="36"/>
      <c r="M189" s="51"/>
      <c r="N189" s="53" t="s">
        <v>75</v>
      </c>
      <c r="O189" s="53"/>
      <c r="P189" s="38">
        <f>P190</f>
        <v>1519800000</v>
      </c>
      <c r="Q189" s="53"/>
      <c r="R189" s="82">
        <f t="shared" si="42"/>
        <v>1519800000</v>
      </c>
      <c r="S189" s="82">
        <f>'LRA SP2D'!R190</f>
        <v>1386900000</v>
      </c>
      <c r="T189" s="82"/>
      <c r="U189" s="82">
        <f>'LRA SP2D'!U190</f>
        <v>1494900000</v>
      </c>
      <c r="V189" s="82"/>
      <c r="W189" s="82">
        <f t="shared" si="43"/>
        <v>1494900000</v>
      </c>
      <c r="X189" s="170">
        <f t="shared" si="44"/>
        <v>24900000</v>
      </c>
      <c r="Y189" s="161"/>
      <c r="Z189" s="161">
        <f t="shared" si="45"/>
        <v>-108000000</v>
      </c>
      <c r="AA189" s="199">
        <f t="shared" si="46"/>
        <v>0.98361626529806556</v>
      </c>
      <c r="AB189" s="3"/>
      <c r="AC189" s="3"/>
      <c r="AD189" s="3"/>
      <c r="AE189" s="3"/>
    </row>
    <row r="190" spans="1:31" ht="25.5" customHeight="1">
      <c r="A190" s="65">
        <v>7</v>
      </c>
      <c r="B190" s="113" t="s">
        <v>19</v>
      </c>
      <c r="C190" s="113" t="s">
        <v>22</v>
      </c>
      <c r="D190" s="12">
        <v>2</v>
      </c>
      <c r="E190" s="104" t="s">
        <v>54</v>
      </c>
      <c r="F190" s="104" t="s">
        <v>30</v>
      </c>
      <c r="G190" s="12">
        <v>5</v>
      </c>
      <c r="H190" s="12">
        <v>1</v>
      </c>
      <c r="I190" s="104" t="s">
        <v>22</v>
      </c>
      <c r="J190" s="107" t="s">
        <v>22</v>
      </c>
      <c r="K190" s="107" t="s">
        <v>19</v>
      </c>
      <c r="L190" s="36"/>
      <c r="M190" s="51"/>
      <c r="N190" s="53" t="s">
        <v>114</v>
      </c>
      <c r="O190" s="53"/>
      <c r="P190" s="38">
        <f>SUM(P191:P197)</f>
        <v>1519800000</v>
      </c>
      <c r="Q190" s="53"/>
      <c r="R190" s="82">
        <f t="shared" ref="R190:R241" si="53">O190+P190+Q190</f>
        <v>1519800000</v>
      </c>
      <c r="S190" s="82">
        <f>'LRA SP2D'!R191</f>
        <v>1386900000</v>
      </c>
      <c r="T190" s="82"/>
      <c r="U190" s="82">
        <f>'LRA SP2D'!U191</f>
        <v>1494900000</v>
      </c>
      <c r="V190" s="82"/>
      <c r="W190" s="82">
        <f t="shared" ref="W190:W241" si="54">T190+U190+V190</f>
        <v>1494900000</v>
      </c>
      <c r="X190" s="170">
        <f t="shared" ref="X190:X241" si="55">R190-W190</f>
        <v>24900000</v>
      </c>
      <c r="Y190" s="161"/>
      <c r="Z190" s="161">
        <f t="shared" ref="Z190:Z241" si="56">S190-W190</f>
        <v>-108000000</v>
      </c>
      <c r="AA190" s="199">
        <f t="shared" ref="AA190:AA240" si="57">W190/R190*100%</f>
        <v>0.98361626529806556</v>
      </c>
      <c r="AB190" s="3"/>
      <c r="AC190" s="3"/>
      <c r="AD190" s="3"/>
      <c r="AE190" s="3"/>
    </row>
    <row r="191" spans="1:31" ht="38.25" customHeight="1">
      <c r="A191" s="67">
        <v>7</v>
      </c>
      <c r="B191" s="114" t="s">
        <v>19</v>
      </c>
      <c r="C191" s="114" t="s">
        <v>22</v>
      </c>
      <c r="D191" s="16">
        <v>2</v>
      </c>
      <c r="E191" s="105" t="s">
        <v>54</v>
      </c>
      <c r="F191" s="105" t="s">
        <v>30</v>
      </c>
      <c r="G191" s="16">
        <v>5</v>
      </c>
      <c r="H191" s="16">
        <v>1</v>
      </c>
      <c r="I191" s="105" t="s">
        <v>22</v>
      </c>
      <c r="J191" s="106" t="s">
        <v>22</v>
      </c>
      <c r="K191" s="106" t="s">
        <v>19</v>
      </c>
      <c r="L191" s="106" t="s">
        <v>27</v>
      </c>
      <c r="M191" s="108" t="s">
        <v>86</v>
      </c>
      <c r="N191" s="39" t="s">
        <v>115</v>
      </c>
      <c r="O191" s="34"/>
      <c r="P191" s="35">
        <f>'LRA SP2D'!O192</f>
        <v>14400000</v>
      </c>
      <c r="Q191" s="34"/>
      <c r="R191" s="81">
        <f t="shared" si="53"/>
        <v>14400000</v>
      </c>
      <c r="S191" s="81">
        <f>'LRA SP2D'!R192</f>
        <v>14400000</v>
      </c>
      <c r="T191" s="81"/>
      <c r="U191" s="81">
        <f>'LRA SP2D'!U192</f>
        <v>14400000</v>
      </c>
      <c r="V191" s="81"/>
      <c r="W191" s="81">
        <f t="shared" si="54"/>
        <v>14400000</v>
      </c>
      <c r="X191" s="170">
        <f t="shared" si="55"/>
        <v>0</v>
      </c>
      <c r="Y191" s="161"/>
      <c r="Z191" s="161">
        <f t="shared" si="56"/>
        <v>0</v>
      </c>
      <c r="AA191" s="199">
        <f t="shared" si="57"/>
        <v>1</v>
      </c>
      <c r="AB191" s="3"/>
      <c r="AC191" s="3"/>
      <c r="AD191" s="3"/>
      <c r="AE191" s="3"/>
    </row>
    <row r="192" spans="1:31" ht="38.25" customHeight="1">
      <c r="A192" s="384">
        <v>7</v>
      </c>
      <c r="B192" s="385" t="s">
        <v>19</v>
      </c>
      <c r="C192" s="385" t="s">
        <v>22</v>
      </c>
      <c r="D192" s="307">
        <v>2</v>
      </c>
      <c r="E192" s="306" t="s">
        <v>54</v>
      </c>
      <c r="F192" s="306" t="s">
        <v>30</v>
      </c>
      <c r="G192" s="307">
        <v>5</v>
      </c>
      <c r="H192" s="307">
        <v>1</v>
      </c>
      <c r="I192" s="306" t="s">
        <v>22</v>
      </c>
      <c r="J192" s="314" t="s">
        <v>22</v>
      </c>
      <c r="K192" s="314" t="s">
        <v>19</v>
      </c>
      <c r="L192" s="314" t="s">
        <v>27</v>
      </c>
      <c r="M192" s="342">
        <v>6</v>
      </c>
      <c r="N192" s="318" t="s">
        <v>138</v>
      </c>
      <c r="O192" s="34"/>
      <c r="P192" s="35">
        <f>'LRA SP2D'!O193</f>
        <v>44700000</v>
      </c>
      <c r="Q192" s="34"/>
      <c r="R192" s="81">
        <f t="shared" si="53"/>
        <v>44700000</v>
      </c>
      <c r="S192" s="81">
        <f>'LRA SP2D'!R193</f>
        <v>41800000</v>
      </c>
      <c r="T192" s="81"/>
      <c r="U192" s="81">
        <f>'LRA SP2D'!U193</f>
        <v>44300000</v>
      </c>
      <c r="V192" s="81"/>
      <c r="W192" s="81">
        <f t="shared" si="54"/>
        <v>44300000</v>
      </c>
      <c r="X192" s="170"/>
      <c r="Y192" s="161"/>
      <c r="Z192" s="161">
        <f t="shared" ref="Z192" si="58">S192-W192</f>
        <v>-2500000</v>
      </c>
      <c r="AA192" s="199">
        <f t="shared" ref="AA192" si="59">W192/R192*100%</f>
        <v>0.99105145413870244</v>
      </c>
      <c r="AB192" s="3"/>
      <c r="AC192" s="3"/>
      <c r="AD192" s="3"/>
      <c r="AE192" s="3"/>
    </row>
    <row r="193" spans="1:31" ht="33.75" customHeight="1">
      <c r="A193" s="67">
        <v>7</v>
      </c>
      <c r="B193" s="114" t="s">
        <v>19</v>
      </c>
      <c r="C193" s="114" t="s">
        <v>22</v>
      </c>
      <c r="D193" s="16">
        <v>2</v>
      </c>
      <c r="E193" s="105" t="s">
        <v>54</v>
      </c>
      <c r="F193" s="105" t="s">
        <v>30</v>
      </c>
      <c r="G193" s="16">
        <v>5</v>
      </c>
      <c r="H193" s="16">
        <v>1</v>
      </c>
      <c r="I193" s="105" t="s">
        <v>22</v>
      </c>
      <c r="J193" s="106" t="s">
        <v>22</v>
      </c>
      <c r="K193" s="106" t="s">
        <v>19</v>
      </c>
      <c r="L193" s="106" t="s">
        <v>56</v>
      </c>
      <c r="M193" s="108">
        <v>0</v>
      </c>
      <c r="N193" s="39" t="s">
        <v>203</v>
      </c>
      <c r="O193" s="34"/>
      <c r="P193" s="35">
        <f>'LRA SP2D'!O194</f>
        <v>1427000000</v>
      </c>
      <c r="Q193" s="34"/>
      <c r="R193" s="81">
        <f t="shared" si="53"/>
        <v>1427000000</v>
      </c>
      <c r="S193" s="81">
        <f>'LRA SP2D'!R194</f>
        <v>1301250000</v>
      </c>
      <c r="T193" s="81"/>
      <c r="U193" s="81">
        <f>'LRA SP2D'!U194</f>
        <v>1406750000</v>
      </c>
      <c r="V193" s="81"/>
      <c r="W193" s="81">
        <f t="shared" si="54"/>
        <v>1406750000</v>
      </c>
      <c r="X193" s="161">
        <f t="shared" si="55"/>
        <v>20250000</v>
      </c>
      <c r="Y193" s="161"/>
      <c r="Z193" s="161">
        <f t="shared" si="56"/>
        <v>-105500000</v>
      </c>
      <c r="AA193" s="199">
        <f t="shared" si="57"/>
        <v>0.98580939032936232</v>
      </c>
      <c r="AB193" s="3"/>
      <c r="AC193" s="3"/>
      <c r="AD193" s="3"/>
      <c r="AE193" s="3"/>
    </row>
    <row r="194" spans="1:31" ht="33.75" customHeight="1">
      <c r="A194" s="67">
        <v>7</v>
      </c>
      <c r="B194" s="114" t="s">
        <v>19</v>
      </c>
      <c r="C194" s="114" t="s">
        <v>22</v>
      </c>
      <c r="D194" s="16">
        <v>2</v>
      </c>
      <c r="E194" s="105" t="s">
        <v>54</v>
      </c>
      <c r="F194" s="105" t="s">
        <v>30</v>
      </c>
      <c r="G194" s="16">
        <v>5</v>
      </c>
      <c r="H194" s="16">
        <v>1</v>
      </c>
      <c r="I194" s="105" t="s">
        <v>22</v>
      </c>
      <c r="J194" s="106" t="s">
        <v>22</v>
      </c>
      <c r="K194" s="106" t="s">
        <v>19</v>
      </c>
      <c r="L194" s="106" t="s">
        <v>52</v>
      </c>
      <c r="M194" s="51">
        <v>7</v>
      </c>
      <c r="N194" s="34" t="s">
        <v>116</v>
      </c>
      <c r="O194" s="34"/>
      <c r="P194" s="35">
        <f>'LRA SP2D'!O195</f>
        <v>26250000</v>
      </c>
      <c r="Q194" s="34"/>
      <c r="R194" s="81">
        <f t="shared" si="53"/>
        <v>26250000</v>
      </c>
      <c r="S194" s="81">
        <f>'LRA SP2D'!R195</f>
        <v>26250000</v>
      </c>
      <c r="T194" s="81"/>
      <c r="U194" s="81">
        <f>'LRA SP2D'!U195</f>
        <v>26250000</v>
      </c>
      <c r="V194" s="81"/>
      <c r="W194" s="81">
        <f t="shared" si="54"/>
        <v>26250000</v>
      </c>
      <c r="X194" s="161">
        <f t="shared" si="55"/>
        <v>0</v>
      </c>
      <c r="Y194" s="161"/>
      <c r="Z194" s="161">
        <f t="shared" si="56"/>
        <v>0</v>
      </c>
      <c r="AA194" s="199">
        <f t="shared" si="57"/>
        <v>1</v>
      </c>
      <c r="AB194" s="3"/>
      <c r="AC194" s="3"/>
      <c r="AD194" s="3"/>
      <c r="AE194" s="3"/>
    </row>
    <row r="195" spans="1:31" ht="33.75" customHeight="1">
      <c r="A195" s="384">
        <v>7</v>
      </c>
      <c r="B195" s="385" t="s">
        <v>19</v>
      </c>
      <c r="C195" s="385" t="s">
        <v>22</v>
      </c>
      <c r="D195" s="307">
        <v>2</v>
      </c>
      <c r="E195" s="306" t="s">
        <v>54</v>
      </c>
      <c r="F195" s="306" t="s">
        <v>30</v>
      </c>
      <c r="G195" s="307">
        <v>5</v>
      </c>
      <c r="H195" s="307">
        <v>1</v>
      </c>
      <c r="I195" s="306" t="s">
        <v>22</v>
      </c>
      <c r="J195" s="314" t="s">
        <v>22</v>
      </c>
      <c r="K195" s="314" t="s">
        <v>54</v>
      </c>
      <c r="L195" s="314" t="s">
        <v>52</v>
      </c>
      <c r="M195" s="326">
        <v>6</v>
      </c>
      <c r="N195" s="309" t="s">
        <v>261</v>
      </c>
      <c r="O195" s="34"/>
      <c r="P195" s="35">
        <f>'LRA SP2D'!O196</f>
        <v>5500000</v>
      </c>
      <c r="Q195" s="34"/>
      <c r="R195" s="81">
        <f t="shared" si="53"/>
        <v>5500000</v>
      </c>
      <c r="S195" s="81"/>
      <c r="T195" s="81"/>
      <c r="U195" s="81"/>
      <c r="V195" s="81"/>
      <c r="W195" s="81"/>
      <c r="X195" s="161"/>
      <c r="Y195" s="161"/>
      <c r="Z195" s="161">
        <f t="shared" ref="Z195:Z197" si="60">S195-W195</f>
        <v>0</v>
      </c>
      <c r="AA195" s="199">
        <f t="shared" ref="AA195:AA196" si="61">W195/R195*100%</f>
        <v>0</v>
      </c>
      <c r="AB195" s="3"/>
      <c r="AC195" s="3"/>
      <c r="AD195" s="3"/>
      <c r="AE195" s="3"/>
    </row>
    <row r="196" spans="1:31" ht="33.75" customHeight="1">
      <c r="A196" s="384">
        <v>7</v>
      </c>
      <c r="B196" s="385" t="s">
        <v>19</v>
      </c>
      <c r="C196" s="385" t="s">
        <v>22</v>
      </c>
      <c r="D196" s="307">
        <v>2</v>
      </c>
      <c r="E196" s="306" t="s">
        <v>54</v>
      </c>
      <c r="F196" s="306" t="s">
        <v>30</v>
      </c>
      <c r="G196" s="307">
        <v>5</v>
      </c>
      <c r="H196" s="307">
        <v>1</v>
      </c>
      <c r="I196" s="306" t="s">
        <v>22</v>
      </c>
      <c r="J196" s="314" t="s">
        <v>22</v>
      </c>
      <c r="K196" s="314" t="s">
        <v>54</v>
      </c>
      <c r="L196" s="314" t="s">
        <v>100</v>
      </c>
      <c r="M196" s="326">
        <v>7</v>
      </c>
      <c r="N196" s="309" t="s">
        <v>207</v>
      </c>
      <c r="O196" s="34"/>
      <c r="P196" s="35">
        <f>'LRA SP2D'!O197</f>
        <v>1950000</v>
      </c>
      <c r="Q196" s="34"/>
      <c r="R196" s="81">
        <f t="shared" si="53"/>
        <v>1950000</v>
      </c>
      <c r="S196" s="81"/>
      <c r="T196" s="81"/>
      <c r="U196" s="81"/>
      <c r="V196" s="81"/>
      <c r="W196" s="81"/>
      <c r="X196" s="161"/>
      <c r="Y196" s="161"/>
      <c r="Z196" s="161">
        <f t="shared" si="60"/>
        <v>0</v>
      </c>
      <c r="AA196" s="199">
        <f t="shared" si="61"/>
        <v>0</v>
      </c>
      <c r="AB196" s="3"/>
      <c r="AC196" s="3"/>
      <c r="AD196" s="3"/>
      <c r="AE196" s="3"/>
    </row>
    <row r="197" spans="1:31" ht="47.25" customHeight="1">
      <c r="A197" s="384">
        <v>7</v>
      </c>
      <c r="B197" s="385" t="s">
        <v>19</v>
      </c>
      <c r="C197" s="385" t="s">
        <v>22</v>
      </c>
      <c r="D197" s="307">
        <v>2</v>
      </c>
      <c r="E197" s="306" t="s">
        <v>54</v>
      </c>
      <c r="F197" s="306" t="s">
        <v>30</v>
      </c>
      <c r="G197" s="307">
        <v>5</v>
      </c>
      <c r="H197" s="307">
        <v>1</v>
      </c>
      <c r="I197" s="306" t="s">
        <v>22</v>
      </c>
      <c r="J197" s="314" t="s">
        <v>22</v>
      </c>
      <c r="K197" s="314" t="s">
        <v>32</v>
      </c>
      <c r="L197" s="314" t="s">
        <v>205</v>
      </c>
      <c r="M197" s="326">
        <v>1</v>
      </c>
      <c r="N197" s="318" t="s">
        <v>206</v>
      </c>
      <c r="O197" s="34"/>
      <c r="P197" s="35">
        <f>'LRA SP2D'!O198</f>
        <v>0</v>
      </c>
      <c r="Q197" s="34"/>
      <c r="R197" s="81">
        <f t="shared" si="53"/>
        <v>0</v>
      </c>
      <c r="S197" s="81"/>
      <c r="T197" s="81"/>
      <c r="U197" s="81"/>
      <c r="V197" s="81"/>
      <c r="W197" s="81"/>
      <c r="X197" s="161"/>
      <c r="Y197" s="161"/>
      <c r="Z197" s="161">
        <f t="shared" si="60"/>
        <v>0</v>
      </c>
      <c r="AA197" s="199">
        <v>0</v>
      </c>
      <c r="AB197" s="3"/>
      <c r="AC197" s="3"/>
      <c r="AD197" s="3"/>
      <c r="AE197" s="3"/>
    </row>
    <row r="198" spans="1:31" ht="25.5" customHeight="1">
      <c r="A198" s="65">
        <v>7</v>
      </c>
      <c r="B198" s="113" t="s">
        <v>19</v>
      </c>
      <c r="C198" s="113" t="s">
        <v>22</v>
      </c>
      <c r="D198" s="12">
        <v>2</v>
      </c>
      <c r="E198" s="104" t="s">
        <v>54</v>
      </c>
      <c r="F198" s="104" t="s">
        <v>30</v>
      </c>
      <c r="G198" s="12">
        <v>5</v>
      </c>
      <c r="H198" s="12">
        <v>1</v>
      </c>
      <c r="I198" s="104" t="s">
        <v>22</v>
      </c>
      <c r="J198" s="107" t="s">
        <v>54</v>
      </c>
      <c r="K198" s="50"/>
      <c r="L198" s="36"/>
      <c r="M198" s="51"/>
      <c r="N198" s="53" t="s">
        <v>68</v>
      </c>
      <c r="O198" s="53"/>
      <c r="P198" s="38">
        <f>P199</f>
        <v>121302750</v>
      </c>
      <c r="Q198" s="53"/>
      <c r="R198" s="82">
        <f t="shared" si="53"/>
        <v>121302750</v>
      </c>
      <c r="S198" s="82">
        <f>'LRA SP2D'!R199</f>
        <v>93797250</v>
      </c>
      <c r="T198" s="82"/>
      <c r="U198" s="82">
        <f>'LRA SP2D'!U199</f>
        <v>97822250</v>
      </c>
      <c r="V198" s="82"/>
      <c r="W198" s="82">
        <f t="shared" si="54"/>
        <v>97822250</v>
      </c>
      <c r="X198" s="170">
        <f t="shared" si="55"/>
        <v>23480500</v>
      </c>
      <c r="Y198" s="170">
        <f t="shared" ref="Y198:Y223" si="62">S198-W198</f>
        <v>-4025000</v>
      </c>
      <c r="Z198" s="170">
        <f t="shared" si="56"/>
        <v>-4025000</v>
      </c>
      <c r="AA198" s="196">
        <f t="shared" si="57"/>
        <v>0.80643060441745962</v>
      </c>
      <c r="AB198" s="159"/>
      <c r="AC198" s="3"/>
      <c r="AD198" s="3"/>
      <c r="AE198" s="3"/>
    </row>
    <row r="199" spans="1:31" ht="25.5" customHeight="1">
      <c r="A199" s="65">
        <v>7</v>
      </c>
      <c r="B199" s="113" t="s">
        <v>19</v>
      </c>
      <c r="C199" s="113" t="s">
        <v>22</v>
      </c>
      <c r="D199" s="12">
        <v>2</v>
      </c>
      <c r="E199" s="104" t="s">
        <v>54</v>
      </c>
      <c r="F199" s="104" t="s">
        <v>30</v>
      </c>
      <c r="G199" s="12">
        <v>5</v>
      </c>
      <c r="H199" s="12">
        <v>1</v>
      </c>
      <c r="I199" s="104" t="s">
        <v>22</v>
      </c>
      <c r="J199" s="107" t="s">
        <v>54</v>
      </c>
      <c r="K199" s="107" t="s">
        <v>19</v>
      </c>
      <c r="L199" s="50"/>
      <c r="M199" s="51"/>
      <c r="N199" s="53" t="s">
        <v>69</v>
      </c>
      <c r="O199" s="53"/>
      <c r="P199" s="38">
        <f>P200+P201</f>
        <v>121302750</v>
      </c>
      <c r="Q199" s="53"/>
      <c r="R199" s="82">
        <f t="shared" si="53"/>
        <v>121302750</v>
      </c>
      <c r="S199" s="82">
        <f>'LRA SP2D'!R200</f>
        <v>93797250</v>
      </c>
      <c r="T199" s="82"/>
      <c r="U199" s="82">
        <f>'LRA SP2D'!U200</f>
        <v>97822250</v>
      </c>
      <c r="V199" s="82"/>
      <c r="W199" s="82">
        <f t="shared" si="54"/>
        <v>97822250</v>
      </c>
      <c r="X199" s="170">
        <f t="shared" si="55"/>
        <v>23480500</v>
      </c>
      <c r="Y199" s="170">
        <f t="shared" si="62"/>
        <v>-4025000</v>
      </c>
      <c r="Z199" s="170">
        <f t="shared" si="56"/>
        <v>-4025000</v>
      </c>
      <c r="AA199" s="196">
        <f t="shared" si="57"/>
        <v>0.80643060441745962</v>
      </c>
      <c r="AB199" s="159"/>
      <c r="AC199" s="3"/>
      <c r="AD199" s="3"/>
      <c r="AE199" s="3"/>
    </row>
    <row r="200" spans="1:31" ht="32.25" customHeight="1">
      <c r="A200" s="67">
        <v>7</v>
      </c>
      <c r="B200" s="114" t="s">
        <v>19</v>
      </c>
      <c r="C200" s="114" t="s">
        <v>22</v>
      </c>
      <c r="D200" s="16">
        <v>2</v>
      </c>
      <c r="E200" s="105" t="s">
        <v>54</v>
      </c>
      <c r="F200" s="105" t="s">
        <v>30</v>
      </c>
      <c r="G200" s="16">
        <v>5</v>
      </c>
      <c r="H200" s="16">
        <v>1</v>
      </c>
      <c r="I200" s="105" t="s">
        <v>22</v>
      </c>
      <c r="J200" s="106" t="s">
        <v>54</v>
      </c>
      <c r="K200" s="106" t="s">
        <v>19</v>
      </c>
      <c r="L200" s="106" t="s">
        <v>27</v>
      </c>
      <c r="M200" s="108" t="s">
        <v>10</v>
      </c>
      <c r="N200" s="34" t="s">
        <v>70</v>
      </c>
      <c r="O200" s="34"/>
      <c r="P200" s="35">
        <f>'LRA SP2D'!O201</f>
        <v>5402750</v>
      </c>
      <c r="Q200" s="34"/>
      <c r="R200" s="81">
        <f t="shared" si="53"/>
        <v>5402750</v>
      </c>
      <c r="S200" s="81">
        <f>'LRA SP2D'!R201</f>
        <v>4897250</v>
      </c>
      <c r="T200" s="81"/>
      <c r="U200" s="81">
        <f>'LRA SP2D'!U201</f>
        <v>5022250</v>
      </c>
      <c r="V200" s="81"/>
      <c r="W200" s="81">
        <f t="shared" si="54"/>
        <v>5022250</v>
      </c>
      <c r="X200" s="161">
        <f t="shared" si="55"/>
        <v>380500</v>
      </c>
      <c r="Y200" s="161">
        <f t="shared" si="62"/>
        <v>-125000</v>
      </c>
      <c r="Z200" s="161">
        <f t="shared" si="56"/>
        <v>-125000</v>
      </c>
      <c r="AA200" s="199">
        <f t="shared" si="57"/>
        <v>0.92957290268844572</v>
      </c>
      <c r="AB200" s="3"/>
      <c r="AC200" s="3"/>
      <c r="AD200" s="3"/>
      <c r="AE200" s="3"/>
    </row>
    <row r="201" spans="1:31" ht="32.25" customHeight="1">
      <c r="A201" s="67">
        <v>7</v>
      </c>
      <c r="B201" s="114" t="s">
        <v>19</v>
      </c>
      <c r="C201" s="114" t="s">
        <v>22</v>
      </c>
      <c r="D201" s="16">
        <v>2</v>
      </c>
      <c r="E201" s="105" t="s">
        <v>54</v>
      </c>
      <c r="F201" s="105" t="s">
        <v>30</v>
      </c>
      <c r="G201" s="16">
        <v>5</v>
      </c>
      <c r="H201" s="16">
        <v>1</v>
      </c>
      <c r="I201" s="105" t="s">
        <v>22</v>
      </c>
      <c r="J201" s="106" t="s">
        <v>54</v>
      </c>
      <c r="K201" s="106" t="s">
        <v>19</v>
      </c>
      <c r="L201" s="106" t="s">
        <v>27</v>
      </c>
      <c r="M201" s="51">
        <v>3</v>
      </c>
      <c r="N201" s="34" t="s">
        <v>117</v>
      </c>
      <c r="O201" s="34"/>
      <c r="P201" s="35">
        <f>'LRA SP2D'!O202</f>
        <v>115900000</v>
      </c>
      <c r="Q201" s="34"/>
      <c r="R201" s="81">
        <f t="shared" si="53"/>
        <v>115900000</v>
      </c>
      <c r="S201" s="81">
        <f>'LRA SP2D'!R202</f>
        <v>88900000</v>
      </c>
      <c r="T201" s="81"/>
      <c r="U201" s="81">
        <f>'LRA SP2D'!U202</f>
        <v>92800000</v>
      </c>
      <c r="V201" s="81"/>
      <c r="W201" s="81">
        <f t="shared" si="54"/>
        <v>92800000</v>
      </c>
      <c r="X201" s="161">
        <f t="shared" si="55"/>
        <v>23100000</v>
      </c>
      <c r="Y201" s="161">
        <f t="shared" si="62"/>
        <v>-3900000</v>
      </c>
      <c r="Z201" s="161">
        <f t="shared" si="56"/>
        <v>-3900000</v>
      </c>
      <c r="AA201" s="199">
        <f t="shared" si="57"/>
        <v>0.80069025021570317</v>
      </c>
      <c r="AB201" s="3"/>
      <c r="AC201" s="3"/>
      <c r="AD201" s="3"/>
      <c r="AE201" s="3"/>
    </row>
    <row r="202" spans="1:31" ht="42" customHeight="1">
      <c r="A202" s="65">
        <v>7</v>
      </c>
      <c r="B202" s="113" t="s">
        <v>19</v>
      </c>
      <c r="C202" s="113" t="s">
        <v>22</v>
      </c>
      <c r="D202" s="12">
        <v>2</v>
      </c>
      <c r="E202" s="104" t="s">
        <v>54</v>
      </c>
      <c r="F202" s="104" t="s">
        <v>30</v>
      </c>
      <c r="G202" s="12">
        <v>5</v>
      </c>
      <c r="H202" s="12">
        <v>1</v>
      </c>
      <c r="I202" s="104" t="s">
        <v>22</v>
      </c>
      <c r="J202" s="107" t="s">
        <v>32</v>
      </c>
      <c r="K202" s="50"/>
      <c r="L202" s="36"/>
      <c r="M202" s="51"/>
      <c r="N202" s="37" t="s">
        <v>118</v>
      </c>
      <c r="O202" s="53"/>
      <c r="P202" s="38">
        <f>P203</f>
        <v>14000000</v>
      </c>
      <c r="Q202" s="53"/>
      <c r="R202" s="82">
        <f t="shared" si="53"/>
        <v>14000000</v>
      </c>
      <c r="S202" s="82">
        <f>'LRA SP2D'!R203</f>
        <v>14000000</v>
      </c>
      <c r="T202" s="82"/>
      <c r="U202" s="82">
        <f>'LRA SP2D'!U203</f>
        <v>14000000</v>
      </c>
      <c r="V202" s="82"/>
      <c r="W202" s="82">
        <f t="shared" si="54"/>
        <v>14000000</v>
      </c>
      <c r="X202" s="170">
        <f t="shared" si="55"/>
        <v>0</v>
      </c>
      <c r="Y202" s="170"/>
      <c r="Z202" s="170">
        <f t="shared" si="56"/>
        <v>0</v>
      </c>
      <c r="AA202" s="196">
        <f t="shared" si="57"/>
        <v>1</v>
      </c>
      <c r="AB202" s="3"/>
      <c r="AC202" s="3"/>
      <c r="AD202" s="3"/>
      <c r="AE202" s="3"/>
    </row>
    <row r="203" spans="1:31" ht="55.5" customHeight="1">
      <c r="A203" s="65">
        <v>7</v>
      </c>
      <c r="B203" s="113" t="s">
        <v>19</v>
      </c>
      <c r="C203" s="113" t="s">
        <v>22</v>
      </c>
      <c r="D203" s="12">
        <v>2</v>
      </c>
      <c r="E203" s="104" t="s">
        <v>54</v>
      </c>
      <c r="F203" s="104" t="s">
        <v>30</v>
      </c>
      <c r="G203" s="12">
        <v>5</v>
      </c>
      <c r="H203" s="12">
        <v>1</v>
      </c>
      <c r="I203" s="104" t="s">
        <v>22</v>
      </c>
      <c r="J203" s="107" t="s">
        <v>32</v>
      </c>
      <c r="K203" s="107" t="s">
        <v>19</v>
      </c>
      <c r="L203" s="36"/>
      <c r="M203" s="51"/>
      <c r="N203" s="37" t="s">
        <v>119</v>
      </c>
      <c r="O203" s="53"/>
      <c r="P203" s="38">
        <f>P204</f>
        <v>14000000</v>
      </c>
      <c r="Q203" s="53"/>
      <c r="R203" s="82">
        <f t="shared" si="53"/>
        <v>14000000</v>
      </c>
      <c r="S203" s="82">
        <f>'LRA SP2D'!R204</f>
        <v>14000000</v>
      </c>
      <c r="T203" s="82"/>
      <c r="U203" s="82">
        <f>'LRA SP2D'!U204</f>
        <v>14000000</v>
      </c>
      <c r="V203" s="82"/>
      <c r="W203" s="82">
        <f t="shared" si="54"/>
        <v>14000000</v>
      </c>
      <c r="X203" s="170">
        <f t="shared" si="55"/>
        <v>0</v>
      </c>
      <c r="Y203" s="170"/>
      <c r="Z203" s="170">
        <f t="shared" si="56"/>
        <v>0</v>
      </c>
      <c r="AA203" s="196">
        <f t="shared" si="57"/>
        <v>1</v>
      </c>
      <c r="AB203" s="3"/>
      <c r="AC203" s="3"/>
      <c r="AD203" s="3"/>
      <c r="AE203" s="3"/>
    </row>
    <row r="204" spans="1:31" ht="32.25" customHeight="1">
      <c r="A204" s="67">
        <v>7</v>
      </c>
      <c r="B204" s="114" t="s">
        <v>19</v>
      </c>
      <c r="C204" s="114" t="s">
        <v>22</v>
      </c>
      <c r="D204" s="16">
        <v>2</v>
      </c>
      <c r="E204" s="105" t="s">
        <v>54</v>
      </c>
      <c r="F204" s="105" t="s">
        <v>30</v>
      </c>
      <c r="G204" s="16">
        <v>5</v>
      </c>
      <c r="H204" s="16">
        <v>1</v>
      </c>
      <c r="I204" s="105" t="s">
        <v>22</v>
      </c>
      <c r="J204" s="106" t="s">
        <v>32</v>
      </c>
      <c r="K204" s="106" t="s">
        <v>19</v>
      </c>
      <c r="L204" s="106" t="s">
        <v>27</v>
      </c>
      <c r="M204" s="108" t="s">
        <v>10</v>
      </c>
      <c r="N204" s="34" t="s">
        <v>120</v>
      </c>
      <c r="O204" s="34"/>
      <c r="P204" s="35">
        <f>'LRA SP2D'!O205</f>
        <v>14000000</v>
      </c>
      <c r="Q204" s="34"/>
      <c r="R204" s="81">
        <f t="shared" si="53"/>
        <v>14000000</v>
      </c>
      <c r="S204" s="81">
        <f>'LRA SP2D'!R205</f>
        <v>14000000</v>
      </c>
      <c r="T204" s="81"/>
      <c r="U204" s="81">
        <f>'LRA SP2D'!U205</f>
        <v>14000000</v>
      </c>
      <c r="V204" s="81"/>
      <c r="W204" s="81">
        <f t="shared" si="54"/>
        <v>14000000</v>
      </c>
      <c r="X204" s="161">
        <f t="shared" si="55"/>
        <v>0</v>
      </c>
      <c r="Y204" s="161"/>
      <c r="Z204" s="161">
        <f t="shared" si="56"/>
        <v>0</v>
      </c>
      <c r="AA204" s="199">
        <f t="shared" si="57"/>
        <v>1</v>
      </c>
      <c r="AB204" s="3"/>
      <c r="AC204" s="3"/>
      <c r="AD204" s="3"/>
      <c r="AE204" s="3"/>
    </row>
    <row r="205" spans="1:31" ht="16.3">
      <c r="A205" s="67"/>
      <c r="B205" s="68"/>
      <c r="C205" s="68"/>
      <c r="D205" s="16"/>
      <c r="E205" s="16"/>
      <c r="F205" s="16"/>
      <c r="G205" s="16"/>
      <c r="H205" s="16"/>
      <c r="I205" s="16"/>
      <c r="J205" s="36"/>
      <c r="K205" s="36"/>
      <c r="L205" s="36"/>
      <c r="M205" s="51"/>
      <c r="N205" s="34"/>
      <c r="O205" s="34"/>
      <c r="P205" s="34"/>
      <c r="Q205" s="34"/>
      <c r="R205" s="81"/>
      <c r="S205" s="34"/>
      <c r="T205" s="81"/>
      <c r="U205" s="81"/>
      <c r="V205" s="81"/>
      <c r="W205" s="81"/>
      <c r="X205" s="161"/>
      <c r="Y205" s="161"/>
      <c r="Z205" s="161"/>
      <c r="AA205" s="199"/>
      <c r="AB205" s="3"/>
      <c r="AC205" s="3"/>
      <c r="AD205" s="3"/>
      <c r="AE205" s="3"/>
    </row>
    <row r="206" spans="1:31" ht="60" customHeight="1">
      <c r="A206" s="56">
        <v>7</v>
      </c>
      <c r="B206" s="109" t="s">
        <v>19</v>
      </c>
      <c r="C206" s="109" t="s">
        <v>30</v>
      </c>
      <c r="D206" s="57"/>
      <c r="E206" s="57"/>
      <c r="F206" s="57"/>
      <c r="G206" s="57"/>
      <c r="H206" s="57"/>
      <c r="I206" s="57"/>
      <c r="J206" s="57"/>
      <c r="K206" s="57"/>
      <c r="L206" s="57"/>
      <c r="M206" s="75"/>
      <c r="N206" s="127" t="s">
        <v>121</v>
      </c>
      <c r="O206" s="173">
        <f>O208+O260</f>
        <v>0</v>
      </c>
      <c r="P206" s="173">
        <f t="shared" ref="P206:R206" si="63">P208+P260</f>
        <v>2814103200</v>
      </c>
      <c r="Q206" s="173">
        <f t="shared" si="63"/>
        <v>0</v>
      </c>
      <c r="R206" s="173">
        <f t="shared" si="63"/>
        <v>2814103200</v>
      </c>
      <c r="S206" s="172">
        <f>S208+S260</f>
        <v>2627419581</v>
      </c>
      <c r="T206" s="172">
        <f t="shared" ref="T206:W206" si="64">T208+T260</f>
        <v>0</v>
      </c>
      <c r="U206" s="172">
        <f t="shared" si="64"/>
        <v>2752234381</v>
      </c>
      <c r="V206" s="172">
        <f t="shared" si="64"/>
        <v>0</v>
      </c>
      <c r="W206" s="172">
        <f t="shared" si="64"/>
        <v>2752234381</v>
      </c>
      <c r="X206" s="173">
        <f t="shared" si="55"/>
        <v>61868819</v>
      </c>
      <c r="Y206" s="173"/>
      <c r="Z206" s="173">
        <f t="shared" si="56"/>
        <v>-124814800</v>
      </c>
      <c r="AA206" s="200">
        <f t="shared" si="57"/>
        <v>0.97801472987913163</v>
      </c>
      <c r="AB206" s="3"/>
      <c r="AC206" s="3"/>
      <c r="AD206" s="3"/>
      <c r="AE206" s="3"/>
    </row>
    <row r="207" spans="1:31" ht="16.3">
      <c r="A207" s="54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73"/>
      <c r="N207" s="126"/>
      <c r="O207" s="34"/>
      <c r="P207" s="34"/>
      <c r="Q207" s="34"/>
      <c r="R207" s="81"/>
      <c r="S207" s="82"/>
      <c r="T207" s="82"/>
      <c r="U207" s="34"/>
      <c r="V207" s="82"/>
      <c r="W207" s="82"/>
      <c r="X207" s="170"/>
      <c r="Y207" s="170"/>
      <c r="Z207" s="170"/>
      <c r="AA207" s="196"/>
      <c r="AB207" s="3"/>
      <c r="AC207" s="3"/>
      <c r="AD207" s="3"/>
      <c r="AE207" s="3"/>
    </row>
    <row r="208" spans="1:31" ht="40.5" customHeight="1">
      <c r="A208" s="58">
        <v>7</v>
      </c>
      <c r="B208" s="110" t="s">
        <v>19</v>
      </c>
      <c r="C208" s="110" t="s">
        <v>30</v>
      </c>
      <c r="D208" s="110" t="s">
        <v>64</v>
      </c>
      <c r="E208" s="110" t="s">
        <v>22</v>
      </c>
      <c r="F208" s="59"/>
      <c r="G208" s="59"/>
      <c r="H208" s="59"/>
      <c r="I208" s="59"/>
      <c r="J208" s="59"/>
      <c r="K208" s="59"/>
      <c r="L208" s="59"/>
      <c r="M208" s="77"/>
      <c r="N208" s="25" t="s">
        <v>122</v>
      </c>
      <c r="O208" s="163">
        <f>O210+O228</f>
        <v>0</v>
      </c>
      <c r="P208" s="163">
        <f>P210+P228</f>
        <v>645362200</v>
      </c>
      <c r="Q208" s="163">
        <f>Q210+Q228</f>
        <v>0</v>
      </c>
      <c r="R208" s="163">
        <f>R210+R228</f>
        <v>645362200</v>
      </c>
      <c r="S208" s="163">
        <f>S210+S228</f>
        <v>566480581</v>
      </c>
      <c r="T208" s="163"/>
      <c r="U208" s="163">
        <f>U210+U228</f>
        <v>589295381</v>
      </c>
      <c r="V208" s="163"/>
      <c r="W208" s="163">
        <f t="shared" si="54"/>
        <v>589295381</v>
      </c>
      <c r="X208" s="95">
        <f t="shared" si="55"/>
        <v>56066819</v>
      </c>
      <c r="Y208" s="95"/>
      <c r="Z208" s="95">
        <f t="shared" si="56"/>
        <v>-22814800</v>
      </c>
      <c r="AA208" s="197">
        <f t="shared" si="57"/>
        <v>0.91312348476560912</v>
      </c>
      <c r="AB208" s="3"/>
      <c r="AC208" s="3"/>
      <c r="AD208" s="3"/>
      <c r="AE208" s="3"/>
    </row>
    <row r="209" spans="1:31" ht="16.3">
      <c r="A209" s="60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79"/>
      <c r="N209" s="125"/>
      <c r="O209" s="81"/>
      <c r="P209" s="81"/>
      <c r="Q209" s="81"/>
      <c r="R209" s="81"/>
      <c r="S209" s="34"/>
      <c r="T209" s="81"/>
      <c r="U209" s="81"/>
      <c r="V209" s="81"/>
      <c r="W209" s="81"/>
      <c r="X209" s="161"/>
      <c r="Y209" s="161"/>
      <c r="Z209" s="161"/>
      <c r="AA209" s="199"/>
      <c r="AB209" s="3"/>
      <c r="AC209" s="3"/>
      <c r="AD209" s="3"/>
      <c r="AE209" s="3"/>
    </row>
    <row r="210" spans="1:31" ht="78.75" customHeight="1">
      <c r="A210" s="62">
        <v>7</v>
      </c>
      <c r="B210" s="111" t="s">
        <v>19</v>
      </c>
      <c r="C210" s="111" t="s">
        <v>30</v>
      </c>
      <c r="D210" s="14">
        <v>2</v>
      </c>
      <c r="E210" s="112" t="s">
        <v>22</v>
      </c>
      <c r="F210" s="112" t="s">
        <v>19</v>
      </c>
      <c r="G210" s="64"/>
      <c r="H210" s="64"/>
      <c r="I210" s="64"/>
      <c r="J210" s="64"/>
      <c r="K210" s="64"/>
      <c r="L210" s="64"/>
      <c r="M210" s="80"/>
      <c r="N210" s="41" t="s">
        <v>266</v>
      </c>
      <c r="O210" s="165"/>
      <c r="P210" s="165">
        <f>P211</f>
        <v>121181400</v>
      </c>
      <c r="Q210" s="165"/>
      <c r="R210" s="165">
        <f t="shared" si="53"/>
        <v>121181400</v>
      </c>
      <c r="S210" s="165">
        <f>S211</f>
        <v>116954400</v>
      </c>
      <c r="T210" s="165"/>
      <c r="U210" s="165">
        <f>U211</f>
        <v>116699400</v>
      </c>
      <c r="V210" s="165"/>
      <c r="W210" s="165">
        <f t="shared" si="54"/>
        <v>116699400</v>
      </c>
      <c r="X210" s="168">
        <f t="shared" si="55"/>
        <v>4482000</v>
      </c>
      <c r="Y210" s="168"/>
      <c r="Z210" s="168">
        <f t="shared" si="56"/>
        <v>255000</v>
      </c>
      <c r="AA210" s="198">
        <f t="shared" si="57"/>
        <v>0.96301412593021707</v>
      </c>
      <c r="AB210" s="3"/>
      <c r="AC210" s="3"/>
      <c r="AD210" s="3"/>
      <c r="AE210" s="3"/>
    </row>
    <row r="211" spans="1:31" ht="25.5" customHeight="1">
      <c r="A211" s="65">
        <v>7</v>
      </c>
      <c r="B211" s="113" t="s">
        <v>19</v>
      </c>
      <c r="C211" s="113" t="s">
        <v>30</v>
      </c>
      <c r="D211" s="12">
        <v>2</v>
      </c>
      <c r="E211" s="115" t="s">
        <v>22</v>
      </c>
      <c r="F211" s="115" t="s">
        <v>19</v>
      </c>
      <c r="G211" s="69">
        <v>5</v>
      </c>
      <c r="H211" s="69">
        <v>1</v>
      </c>
      <c r="I211" s="115" t="s">
        <v>22</v>
      </c>
      <c r="J211" s="70"/>
      <c r="K211" s="70"/>
      <c r="L211" s="70"/>
      <c r="M211" s="83"/>
      <c r="N211" s="53" t="s">
        <v>123</v>
      </c>
      <c r="O211" s="82"/>
      <c r="P211" s="82">
        <f>P212+P220</f>
        <v>121181400</v>
      </c>
      <c r="Q211" s="82"/>
      <c r="R211" s="82">
        <f t="shared" si="53"/>
        <v>121181400</v>
      </c>
      <c r="S211" s="82">
        <f>S212+S220</f>
        <v>116954400</v>
      </c>
      <c r="T211" s="82"/>
      <c r="U211" s="82">
        <f>U212+U220</f>
        <v>116699400</v>
      </c>
      <c r="V211" s="82"/>
      <c r="W211" s="82">
        <f t="shared" si="54"/>
        <v>116699400</v>
      </c>
      <c r="X211" s="170">
        <f t="shared" si="55"/>
        <v>4482000</v>
      </c>
      <c r="Y211" s="170"/>
      <c r="Z211" s="170">
        <f t="shared" si="56"/>
        <v>255000</v>
      </c>
      <c r="AA211" s="196">
        <f t="shared" si="57"/>
        <v>0.96301412593021707</v>
      </c>
      <c r="AB211" s="3"/>
      <c r="AC211" s="3"/>
      <c r="AD211" s="3"/>
      <c r="AE211" s="3"/>
    </row>
    <row r="212" spans="1:31" ht="25.5" customHeight="1">
      <c r="A212" s="65">
        <v>7</v>
      </c>
      <c r="B212" s="113" t="s">
        <v>19</v>
      </c>
      <c r="C212" s="113" t="s">
        <v>30</v>
      </c>
      <c r="D212" s="12">
        <v>2</v>
      </c>
      <c r="E212" s="115" t="s">
        <v>22</v>
      </c>
      <c r="F212" s="115" t="s">
        <v>19</v>
      </c>
      <c r="G212" s="69">
        <v>5</v>
      </c>
      <c r="H212" s="69">
        <v>1</v>
      </c>
      <c r="I212" s="115" t="s">
        <v>22</v>
      </c>
      <c r="J212" s="107" t="s">
        <v>19</v>
      </c>
      <c r="K212" s="36"/>
      <c r="L212" s="36"/>
      <c r="M212" s="51"/>
      <c r="N212" s="53" t="s">
        <v>50</v>
      </c>
      <c r="O212" s="82"/>
      <c r="P212" s="82">
        <f>P213</f>
        <v>66801400</v>
      </c>
      <c r="Q212" s="82"/>
      <c r="R212" s="82">
        <f t="shared" si="53"/>
        <v>66801400</v>
      </c>
      <c r="S212" s="82">
        <f>S213</f>
        <v>62574400</v>
      </c>
      <c r="T212" s="82"/>
      <c r="U212" s="82">
        <f>U213</f>
        <v>62319400</v>
      </c>
      <c r="V212" s="82"/>
      <c r="W212" s="82">
        <f t="shared" si="54"/>
        <v>62319400</v>
      </c>
      <c r="X212" s="170">
        <f t="shared" si="55"/>
        <v>4482000</v>
      </c>
      <c r="Y212" s="170"/>
      <c r="Z212" s="170">
        <f t="shared" si="56"/>
        <v>255000</v>
      </c>
      <c r="AA212" s="196">
        <f t="shared" si="57"/>
        <v>0.93290559778687276</v>
      </c>
      <c r="AB212" s="3"/>
      <c r="AC212" s="3"/>
      <c r="AD212" s="3"/>
      <c r="AE212" s="3"/>
    </row>
    <row r="213" spans="1:31" ht="25.5" customHeight="1">
      <c r="A213" s="65">
        <v>7</v>
      </c>
      <c r="B213" s="113" t="s">
        <v>19</v>
      </c>
      <c r="C213" s="113" t="s">
        <v>30</v>
      </c>
      <c r="D213" s="12">
        <v>2</v>
      </c>
      <c r="E213" s="115" t="s">
        <v>22</v>
      </c>
      <c r="F213" s="115" t="s">
        <v>19</v>
      </c>
      <c r="G213" s="69">
        <v>5</v>
      </c>
      <c r="H213" s="69">
        <v>1</v>
      </c>
      <c r="I213" s="115" t="s">
        <v>22</v>
      </c>
      <c r="J213" s="107" t="s">
        <v>19</v>
      </c>
      <c r="K213" s="107" t="s">
        <v>19</v>
      </c>
      <c r="L213" s="50"/>
      <c r="M213" s="52"/>
      <c r="N213" s="53" t="s">
        <v>51</v>
      </c>
      <c r="O213" s="82"/>
      <c r="P213" s="82">
        <f>SUM(P214:P219)</f>
        <v>66801400</v>
      </c>
      <c r="Q213" s="82"/>
      <c r="R213" s="82">
        <f t="shared" si="53"/>
        <v>66801400</v>
      </c>
      <c r="S213" s="82">
        <f>SUM(S214:S219)</f>
        <v>62574400</v>
      </c>
      <c r="T213" s="82"/>
      <c r="U213" s="82">
        <f>SUM(U214:U219)</f>
        <v>62319400</v>
      </c>
      <c r="V213" s="82"/>
      <c r="W213" s="82">
        <f t="shared" si="54"/>
        <v>62319400</v>
      </c>
      <c r="X213" s="170">
        <f t="shared" si="55"/>
        <v>4482000</v>
      </c>
      <c r="Y213" s="170"/>
      <c r="Z213" s="170">
        <f t="shared" si="56"/>
        <v>255000</v>
      </c>
      <c r="AA213" s="196">
        <f t="shared" si="57"/>
        <v>0.93290559778687276</v>
      </c>
      <c r="AB213" s="3"/>
      <c r="AC213" s="3"/>
      <c r="AD213" s="3"/>
      <c r="AE213" s="3"/>
    </row>
    <row r="214" spans="1:31" ht="25.5" customHeight="1">
      <c r="A214" s="67">
        <v>7</v>
      </c>
      <c r="B214" s="114" t="s">
        <v>19</v>
      </c>
      <c r="C214" s="114" t="s">
        <v>30</v>
      </c>
      <c r="D214" s="16">
        <v>2</v>
      </c>
      <c r="E214" s="116" t="s">
        <v>22</v>
      </c>
      <c r="F214" s="116" t="s">
        <v>19</v>
      </c>
      <c r="G214" s="70">
        <v>5</v>
      </c>
      <c r="H214" s="70">
        <v>1</v>
      </c>
      <c r="I214" s="116" t="s">
        <v>22</v>
      </c>
      <c r="J214" s="106" t="s">
        <v>19</v>
      </c>
      <c r="K214" s="106" t="s">
        <v>19</v>
      </c>
      <c r="L214" s="106" t="s">
        <v>56</v>
      </c>
      <c r="M214" s="51">
        <v>4</v>
      </c>
      <c r="N214" s="34" t="s">
        <v>57</v>
      </c>
      <c r="O214" s="81"/>
      <c r="P214" s="81">
        <f>'LRA SP2D'!O215</f>
        <v>10254000</v>
      </c>
      <c r="Q214" s="81"/>
      <c r="R214" s="81">
        <f t="shared" si="53"/>
        <v>10254000</v>
      </c>
      <c r="S214" s="81">
        <f>'LRA SP2D'!R215</f>
        <v>10148000</v>
      </c>
      <c r="T214" s="81"/>
      <c r="U214" s="81">
        <f>'LRA SP2D'!U215</f>
        <v>10148000</v>
      </c>
      <c r="V214" s="81"/>
      <c r="W214" s="81">
        <f t="shared" si="54"/>
        <v>10148000</v>
      </c>
      <c r="X214" s="161">
        <f t="shared" si="55"/>
        <v>106000</v>
      </c>
      <c r="Y214" s="161">
        <f t="shared" si="62"/>
        <v>0</v>
      </c>
      <c r="Z214" s="161">
        <f t="shared" si="56"/>
        <v>0</v>
      </c>
      <c r="AA214" s="199">
        <f t="shared" si="57"/>
        <v>0.98966257070411545</v>
      </c>
      <c r="AB214" s="3"/>
      <c r="AC214" s="3"/>
      <c r="AD214" s="3"/>
      <c r="AE214" s="3"/>
    </row>
    <row r="215" spans="1:31" ht="37.5" customHeight="1">
      <c r="A215" s="67">
        <v>7</v>
      </c>
      <c r="B215" s="114" t="s">
        <v>19</v>
      </c>
      <c r="C215" s="114" t="s">
        <v>30</v>
      </c>
      <c r="D215" s="16">
        <v>2</v>
      </c>
      <c r="E215" s="116" t="s">
        <v>22</v>
      </c>
      <c r="F215" s="116" t="s">
        <v>19</v>
      </c>
      <c r="G215" s="70">
        <v>5</v>
      </c>
      <c r="H215" s="70">
        <v>1</v>
      </c>
      <c r="I215" s="116" t="s">
        <v>22</v>
      </c>
      <c r="J215" s="106" t="s">
        <v>19</v>
      </c>
      <c r="K215" s="106" t="s">
        <v>19</v>
      </c>
      <c r="L215" s="106" t="s">
        <v>56</v>
      </c>
      <c r="M215" s="108" t="s">
        <v>12</v>
      </c>
      <c r="N215" s="39" t="s">
        <v>58</v>
      </c>
      <c r="O215" s="81"/>
      <c r="P215" s="81">
        <f>'LRA SP2D'!O216</f>
        <v>767000</v>
      </c>
      <c r="Q215" s="81"/>
      <c r="R215" s="81">
        <f t="shared" si="53"/>
        <v>767000</v>
      </c>
      <c r="S215" s="81">
        <f>'LRA SP2D'!R216</f>
        <v>739000</v>
      </c>
      <c r="T215" s="81"/>
      <c r="U215" s="81">
        <f>S215</f>
        <v>739000</v>
      </c>
      <c r="V215" s="81"/>
      <c r="W215" s="81">
        <f t="shared" si="54"/>
        <v>739000</v>
      </c>
      <c r="X215" s="161">
        <f t="shared" si="55"/>
        <v>28000</v>
      </c>
      <c r="Y215" s="161">
        <f t="shared" si="62"/>
        <v>0</v>
      </c>
      <c r="Z215" s="161">
        <f t="shared" si="56"/>
        <v>0</v>
      </c>
      <c r="AA215" s="199">
        <f t="shared" si="57"/>
        <v>0.96349413298565845</v>
      </c>
      <c r="AB215" s="3"/>
      <c r="AC215" s="3"/>
      <c r="AD215" s="3"/>
      <c r="AE215" s="3"/>
    </row>
    <row r="216" spans="1:31" ht="49.5" customHeight="1">
      <c r="A216" s="67">
        <v>7</v>
      </c>
      <c r="B216" s="114" t="s">
        <v>19</v>
      </c>
      <c r="C216" s="114" t="s">
        <v>30</v>
      </c>
      <c r="D216" s="16">
        <v>2</v>
      </c>
      <c r="E216" s="116" t="s">
        <v>22</v>
      </c>
      <c r="F216" s="116" t="s">
        <v>19</v>
      </c>
      <c r="G216" s="70">
        <v>5</v>
      </c>
      <c r="H216" s="70">
        <v>1</v>
      </c>
      <c r="I216" s="116" t="s">
        <v>22</v>
      </c>
      <c r="J216" s="106" t="s">
        <v>19</v>
      </c>
      <c r="K216" s="106" t="s">
        <v>19</v>
      </c>
      <c r="L216" s="106" t="s">
        <v>56</v>
      </c>
      <c r="M216" s="51">
        <v>6</v>
      </c>
      <c r="N216" s="39" t="s">
        <v>124</v>
      </c>
      <c r="O216" s="81"/>
      <c r="P216" s="81">
        <f>'LRA SP2D'!O217</f>
        <v>5953400</v>
      </c>
      <c r="Q216" s="81"/>
      <c r="R216" s="81">
        <f t="shared" si="53"/>
        <v>5953400</v>
      </c>
      <c r="S216" s="81">
        <f>'LRA SP2D'!R217</f>
        <v>4919550</v>
      </c>
      <c r="T216" s="81"/>
      <c r="U216" s="81">
        <f>'LRA SP2D'!U217</f>
        <v>4664550</v>
      </c>
      <c r="V216" s="81"/>
      <c r="W216" s="81">
        <f t="shared" si="54"/>
        <v>4664550</v>
      </c>
      <c r="X216" s="161">
        <f t="shared" si="55"/>
        <v>1288850</v>
      </c>
      <c r="Y216" s="161">
        <f t="shared" si="62"/>
        <v>255000</v>
      </c>
      <c r="Z216" s="161">
        <f t="shared" si="56"/>
        <v>255000</v>
      </c>
      <c r="AA216" s="199">
        <f t="shared" si="57"/>
        <v>0.783510263042967</v>
      </c>
      <c r="AB216" s="3"/>
      <c r="AC216" s="3"/>
      <c r="AD216" s="3"/>
      <c r="AE216" s="3"/>
    </row>
    <row r="217" spans="1:31" ht="41.25" customHeight="1">
      <c r="A217" s="67">
        <v>7</v>
      </c>
      <c r="B217" s="114" t="s">
        <v>19</v>
      </c>
      <c r="C217" s="114" t="s">
        <v>30</v>
      </c>
      <c r="D217" s="16">
        <v>2</v>
      </c>
      <c r="E217" s="116" t="s">
        <v>22</v>
      </c>
      <c r="F217" s="116" t="s">
        <v>19</v>
      </c>
      <c r="G217" s="70">
        <v>5</v>
      </c>
      <c r="H217" s="70">
        <v>1</v>
      </c>
      <c r="I217" s="116" t="s">
        <v>22</v>
      </c>
      <c r="J217" s="106" t="s">
        <v>19</v>
      </c>
      <c r="K217" s="106" t="s">
        <v>19</v>
      </c>
      <c r="L217" s="106" t="s">
        <v>56</v>
      </c>
      <c r="M217" s="51">
        <v>9</v>
      </c>
      <c r="N217" s="39" t="s">
        <v>125</v>
      </c>
      <c r="O217" s="81"/>
      <c r="P217" s="81">
        <f>'LRA SP2D'!O218</f>
        <v>632000</v>
      </c>
      <c r="Q217" s="81"/>
      <c r="R217" s="81">
        <f t="shared" si="53"/>
        <v>632000</v>
      </c>
      <c r="S217" s="81">
        <f>'LRA SP2D'!R218</f>
        <v>632000</v>
      </c>
      <c r="T217" s="81"/>
      <c r="U217" s="81">
        <f>S217</f>
        <v>632000</v>
      </c>
      <c r="V217" s="81"/>
      <c r="W217" s="81">
        <f t="shared" si="54"/>
        <v>632000</v>
      </c>
      <c r="X217" s="161">
        <f t="shared" si="55"/>
        <v>0</v>
      </c>
      <c r="Y217" s="161">
        <f t="shared" si="62"/>
        <v>0</v>
      </c>
      <c r="Z217" s="161">
        <f t="shared" si="56"/>
        <v>0</v>
      </c>
      <c r="AA217" s="199">
        <f t="shared" si="57"/>
        <v>1</v>
      </c>
      <c r="AB217" s="3"/>
      <c r="AC217" s="3"/>
      <c r="AD217" s="3"/>
      <c r="AE217" s="3"/>
    </row>
    <row r="218" spans="1:31" ht="33.75" customHeight="1">
      <c r="A218" s="67">
        <v>7</v>
      </c>
      <c r="B218" s="114" t="s">
        <v>19</v>
      </c>
      <c r="C218" s="114" t="s">
        <v>30</v>
      </c>
      <c r="D218" s="16">
        <v>2</v>
      </c>
      <c r="E218" s="116" t="s">
        <v>22</v>
      </c>
      <c r="F218" s="116" t="s">
        <v>19</v>
      </c>
      <c r="G218" s="70">
        <v>5</v>
      </c>
      <c r="H218" s="70">
        <v>1</v>
      </c>
      <c r="I218" s="116" t="s">
        <v>22</v>
      </c>
      <c r="J218" s="106" t="s">
        <v>19</v>
      </c>
      <c r="K218" s="106" t="s">
        <v>19</v>
      </c>
      <c r="L218" s="106" t="s">
        <v>66</v>
      </c>
      <c r="M218" s="51">
        <v>2</v>
      </c>
      <c r="N218" s="34" t="s">
        <v>126</v>
      </c>
      <c r="O218" s="81"/>
      <c r="P218" s="81">
        <f>'LRA SP2D'!O219</f>
        <v>10175000</v>
      </c>
      <c r="Q218" s="81"/>
      <c r="R218" s="81">
        <f t="shared" si="53"/>
        <v>10175000</v>
      </c>
      <c r="S218" s="81">
        <f>'LRA SP2D'!R219</f>
        <v>9257850</v>
      </c>
      <c r="T218" s="81"/>
      <c r="U218" s="81">
        <f>'LRA SP2D'!U219</f>
        <v>9257850</v>
      </c>
      <c r="V218" s="81"/>
      <c r="W218" s="81">
        <f t="shared" si="54"/>
        <v>9257850</v>
      </c>
      <c r="X218" s="161">
        <f t="shared" si="55"/>
        <v>917150</v>
      </c>
      <c r="Y218" s="161"/>
      <c r="Z218" s="161">
        <f t="shared" si="56"/>
        <v>0</v>
      </c>
      <c r="AA218" s="199">
        <f t="shared" si="57"/>
        <v>0.90986240786240791</v>
      </c>
      <c r="AB218" s="3"/>
      <c r="AC218" s="3"/>
      <c r="AD218" s="3"/>
      <c r="AE218" s="3"/>
    </row>
    <row r="219" spans="1:31" ht="51" customHeight="1">
      <c r="A219" s="67">
        <v>7</v>
      </c>
      <c r="B219" s="114" t="s">
        <v>19</v>
      </c>
      <c r="C219" s="114" t="s">
        <v>30</v>
      </c>
      <c r="D219" s="16">
        <v>2</v>
      </c>
      <c r="E219" s="116" t="s">
        <v>22</v>
      </c>
      <c r="F219" s="116" t="s">
        <v>19</v>
      </c>
      <c r="G219" s="70">
        <v>5</v>
      </c>
      <c r="H219" s="70">
        <v>1</v>
      </c>
      <c r="I219" s="116" t="s">
        <v>22</v>
      </c>
      <c r="J219" s="106" t="s">
        <v>19</v>
      </c>
      <c r="K219" s="106" t="s">
        <v>19</v>
      </c>
      <c r="L219" s="106" t="s">
        <v>66</v>
      </c>
      <c r="M219" s="51">
        <v>8</v>
      </c>
      <c r="N219" s="39" t="s">
        <v>127</v>
      </c>
      <c r="O219" s="81"/>
      <c r="P219" s="81">
        <f>'LRA SP2D'!O220</f>
        <v>39020000</v>
      </c>
      <c r="Q219" s="81"/>
      <c r="R219" s="81">
        <f t="shared" si="53"/>
        <v>39020000</v>
      </c>
      <c r="S219" s="81">
        <f>'LRA SP2D'!R220</f>
        <v>36878000</v>
      </c>
      <c r="T219" s="81"/>
      <c r="U219" s="81">
        <f>'LRA SP2D'!U220</f>
        <v>36878000</v>
      </c>
      <c r="V219" s="81"/>
      <c r="W219" s="81">
        <f t="shared" si="54"/>
        <v>36878000</v>
      </c>
      <c r="X219" s="161">
        <f t="shared" si="55"/>
        <v>2142000</v>
      </c>
      <c r="Y219" s="161"/>
      <c r="Z219" s="161">
        <f t="shared" si="56"/>
        <v>0</v>
      </c>
      <c r="AA219" s="199">
        <f t="shared" si="57"/>
        <v>0.9451050743208611</v>
      </c>
      <c r="AB219" s="3"/>
      <c r="AC219" s="3"/>
      <c r="AD219" s="3"/>
      <c r="AE219" s="3"/>
    </row>
    <row r="220" spans="1:31" ht="32.25" customHeight="1">
      <c r="A220" s="65">
        <v>7</v>
      </c>
      <c r="B220" s="113" t="s">
        <v>19</v>
      </c>
      <c r="C220" s="113" t="s">
        <v>30</v>
      </c>
      <c r="D220" s="12">
        <v>2</v>
      </c>
      <c r="E220" s="115" t="s">
        <v>22</v>
      </c>
      <c r="F220" s="115" t="s">
        <v>19</v>
      </c>
      <c r="G220" s="69">
        <v>5</v>
      </c>
      <c r="H220" s="69">
        <v>1</v>
      </c>
      <c r="I220" s="115" t="s">
        <v>22</v>
      </c>
      <c r="J220" s="107" t="s">
        <v>22</v>
      </c>
      <c r="K220" s="36"/>
      <c r="L220" s="36"/>
      <c r="M220" s="51"/>
      <c r="N220" s="53" t="s">
        <v>75</v>
      </c>
      <c r="O220" s="82"/>
      <c r="P220" s="82">
        <f>'LRA SP2D'!O221</f>
        <v>54380000</v>
      </c>
      <c r="Q220" s="82"/>
      <c r="R220" s="82">
        <f t="shared" si="53"/>
        <v>54380000</v>
      </c>
      <c r="S220" s="82">
        <f>'LRA SP2D'!R221</f>
        <v>54380000</v>
      </c>
      <c r="T220" s="82">
        <f t="shared" ref="T220:V220" si="65">T221</f>
        <v>0</v>
      </c>
      <c r="U220" s="82">
        <f t="shared" si="65"/>
        <v>54380000</v>
      </c>
      <c r="V220" s="82">
        <f t="shared" si="65"/>
        <v>0</v>
      </c>
      <c r="W220" s="82">
        <f t="shared" si="54"/>
        <v>54380000</v>
      </c>
      <c r="X220" s="170">
        <f t="shared" si="55"/>
        <v>0</v>
      </c>
      <c r="Y220" s="170"/>
      <c r="Z220" s="170">
        <f t="shared" si="56"/>
        <v>0</v>
      </c>
      <c r="AA220" s="196">
        <f t="shared" si="57"/>
        <v>1</v>
      </c>
      <c r="AB220" s="3"/>
      <c r="AC220" s="3"/>
      <c r="AD220" s="3"/>
      <c r="AE220" s="3"/>
    </row>
    <row r="221" spans="1:31" ht="30.75" customHeight="1">
      <c r="A221" s="65">
        <v>7</v>
      </c>
      <c r="B221" s="113" t="s">
        <v>19</v>
      </c>
      <c r="C221" s="113" t="s">
        <v>30</v>
      </c>
      <c r="D221" s="12">
        <v>2</v>
      </c>
      <c r="E221" s="115" t="s">
        <v>22</v>
      </c>
      <c r="F221" s="115" t="s">
        <v>19</v>
      </c>
      <c r="G221" s="69">
        <v>5</v>
      </c>
      <c r="H221" s="69">
        <v>1</v>
      </c>
      <c r="I221" s="115" t="s">
        <v>22</v>
      </c>
      <c r="J221" s="107" t="s">
        <v>22</v>
      </c>
      <c r="K221" s="107" t="s">
        <v>19</v>
      </c>
      <c r="L221" s="50"/>
      <c r="M221" s="52"/>
      <c r="N221" s="53" t="s">
        <v>114</v>
      </c>
      <c r="O221" s="82"/>
      <c r="P221" s="82">
        <f>SUM(P222:P224)</f>
        <v>54380000</v>
      </c>
      <c r="Q221" s="82"/>
      <c r="R221" s="82">
        <f t="shared" si="53"/>
        <v>54380000</v>
      </c>
      <c r="S221" s="82">
        <f>'LRA SP2D'!R222</f>
        <v>54380000</v>
      </c>
      <c r="T221" s="82">
        <f t="shared" ref="T221:V221" si="66">T222+T223</f>
        <v>0</v>
      </c>
      <c r="U221" s="82">
        <f>U222+U223+U224</f>
        <v>54380000</v>
      </c>
      <c r="V221" s="82">
        <f t="shared" si="66"/>
        <v>0</v>
      </c>
      <c r="W221" s="82">
        <f t="shared" si="54"/>
        <v>54380000</v>
      </c>
      <c r="X221" s="170">
        <f t="shared" si="55"/>
        <v>0</v>
      </c>
      <c r="Y221" s="170"/>
      <c r="Z221" s="170">
        <f t="shared" si="56"/>
        <v>0</v>
      </c>
      <c r="AA221" s="196">
        <f t="shared" si="57"/>
        <v>1</v>
      </c>
      <c r="AB221" s="3"/>
      <c r="AC221" s="3"/>
      <c r="AD221" s="3"/>
      <c r="AE221" s="3"/>
    </row>
    <row r="222" spans="1:31" ht="47.25" customHeight="1">
      <c r="A222" s="67">
        <v>7</v>
      </c>
      <c r="B222" s="114" t="s">
        <v>19</v>
      </c>
      <c r="C222" s="114" t="s">
        <v>30</v>
      </c>
      <c r="D222" s="16">
        <v>2</v>
      </c>
      <c r="E222" s="105" t="s">
        <v>22</v>
      </c>
      <c r="F222" s="105" t="s">
        <v>19</v>
      </c>
      <c r="G222" s="16">
        <v>5</v>
      </c>
      <c r="H222" s="16">
        <v>1</v>
      </c>
      <c r="I222" s="105" t="s">
        <v>22</v>
      </c>
      <c r="J222" s="106" t="s">
        <v>22</v>
      </c>
      <c r="K222" s="106" t="s">
        <v>19</v>
      </c>
      <c r="L222" s="106" t="s">
        <v>27</v>
      </c>
      <c r="M222" s="51">
        <v>3</v>
      </c>
      <c r="N222" s="39" t="s">
        <v>115</v>
      </c>
      <c r="O222" s="81"/>
      <c r="P222" s="81">
        <f>'LRA SP2D'!O223</f>
        <v>1500000</v>
      </c>
      <c r="Q222" s="81"/>
      <c r="R222" s="81">
        <f t="shared" si="53"/>
        <v>1500000</v>
      </c>
      <c r="S222" s="81">
        <f>'LRA SP2D'!R223</f>
        <v>1500000</v>
      </c>
      <c r="T222" s="81"/>
      <c r="U222" s="81">
        <f>'LRA SP2D'!U223</f>
        <v>1500000</v>
      </c>
      <c r="V222" s="81"/>
      <c r="W222" s="81">
        <f t="shared" si="54"/>
        <v>1500000</v>
      </c>
      <c r="X222" s="161">
        <f t="shared" si="55"/>
        <v>0</v>
      </c>
      <c r="Y222" s="161"/>
      <c r="Z222" s="161">
        <f t="shared" si="56"/>
        <v>0</v>
      </c>
      <c r="AA222" s="199">
        <f t="shared" si="57"/>
        <v>1</v>
      </c>
      <c r="AB222" s="3"/>
      <c r="AC222" s="3"/>
      <c r="AD222" s="3"/>
      <c r="AE222" s="3"/>
    </row>
    <row r="223" spans="1:31" ht="45.75" customHeight="1">
      <c r="A223" s="384">
        <v>7</v>
      </c>
      <c r="B223" s="385" t="s">
        <v>19</v>
      </c>
      <c r="C223" s="385" t="s">
        <v>30</v>
      </c>
      <c r="D223" s="307">
        <v>2</v>
      </c>
      <c r="E223" s="306" t="s">
        <v>22</v>
      </c>
      <c r="F223" s="306" t="s">
        <v>19</v>
      </c>
      <c r="G223" s="307">
        <v>5</v>
      </c>
      <c r="H223" s="307">
        <v>1</v>
      </c>
      <c r="I223" s="306" t="s">
        <v>22</v>
      </c>
      <c r="J223" s="314" t="s">
        <v>22</v>
      </c>
      <c r="K223" s="314" t="s">
        <v>19</v>
      </c>
      <c r="L223" s="314" t="s">
        <v>27</v>
      </c>
      <c r="M223" s="326">
        <v>4</v>
      </c>
      <c r="N223" s="318" t="s">
        <v>262</v>
      </c>
      <c r="O223" s="81"/>
      <c r="P223" s="81">
        <f>'LRA SP2D'!O224</f>
        <v>880000</v>
      </c>
      <c r="Q223" s="81"/>
      <c r="R223" s="81">
        <f t="shared" si="53"/>
        <v>880000</v>
      </c>
      <c r="S223" s="81">
        <f>'LRA SP2D'!R224</f>
        <v>880000</v>
      </c>
      <c r="T223" s="81"/>
      <c r="U223" s="81">
        <f>'LRA SP2D'!U224</f>
        <v>880000</v>
      </c>
      <c r="V223" s="81"/>
      <c r="W223" s="81">
        <f t="shared" si="54"/>
        <v>880000</v>
      </c>
      <c r="X223" s="161">
        <f t="shared" si="55"/>
        <v>0</v>
      </c>
      <c r="Y223" s="161">
        <f t="shared" si="62"/>
        <v>0</v>
      </c>
      <c r="Z223" s="161">
        <f t="shared" si="56"/>
        <v>0</v>
      </c>
      <c r="AA223" s="199">
        <f t="shared" si="57"/>
        <v>1</v>
      </c>
      <c r="AB223" s="3"/>
      <c r="AC223" s="3"/>
      <c r="AD223" s="3"/>
      <c r="AE223" s="3"/>
    </row>
    <row r="224" spans="1:31" ht="42.75" customHeight="1">
      <c r="A224" s="384">
        <v>7</v>
      </c>
      <c r="B224" s="385" t="s">
        <v>19</v>
      </c>
      <c r="C224" s="385" t="s">
        <v>30</v>
      </c>
      <c r="D224" s="307">
        <v>2</v>
      </c>
      <c r="E224" s="306" t="s">
        <v>22</v>
      </c>
      <c r="F224" s="306" t="s">
        <v>19</v>
      </c>
      <c r="G224" s="307">
        <v>5</v>
      </c>
      <c r="H224" s="307">
        <v>1</v>
      </c>
      <c r="I224" s="306" t="s">
        <v>22</v>
      </c>
      <c r="J224" s="314" t="s">
        <v>22</v>
      </c>
      <c r="K224" s="314" t="s">
        <v>19</v>
      </c>
      <c r="L224" s="314" t="s">
        <v>27</v>
      </c>
      <c r="M224" s="326">
        <v>6</v>
      </c>
      <c r="N224" s="318" t="s">
        <v>130</v>
      </c>
      <c r="O224" s="81"/>
      <c r="P224" s="81">
        <f>'LRA SP2D'!O225</f>
        <v>52000000</v>
      </c>
      <c r="Q224" s="81"/>
      <c r="R224" s="81">
        <f t="shared" si="53"/>
        <v>52000000</v>
      </c>
      <c r="S224" s="81">
        <f>'LRA SP2D'!R225</f>
        <v>52000000</v>
      </c>
      <c r="T224" s="81"/>
      <c r="U224" s="81">
        <f>S224</f>
        <v>52000000</v>
      </c>
      <c r="V224" s="81"/>
      <c r="W224" s="81">
        <f t="shared" si="54"/>
        <v>52000000</v>
      </c>
      <c r="X224" s="161">
        <f t="shared" ref="X224:X226" si="67">R224-W224</f>
        <v>0</v>
      </c>
      <c r="Y224" s="161">
        <f t="shared" ref="Y224:Y226" si="68">S224-W224</f>
        <v>0</v>
      </c>
      <c r="Z224" s="161">
        <f t="shared" ref="Z224:Z226" si="69">S224-W224</f>
        <v>0</v>
      </c>
      <c r="AA224" s="199">
        <f t="shared" ref="AA224" si="70">W224/R224*100%</f>
        <v>1</v>
      </c>
      <c r="AB224" s="3"/>
      <c r="AC224" s="3"/>
      <c r="AD224" s="3"/>
      <c r="AE224" s="3"/>
    </row>
    <row r="225" spans="1:31" s="521" customFormat="1" ht="40.5" customHeight="1">
      <c r="A225" s="379">
        <v>7</v>
      </c>
      <c r="B225" s="380" t="s">
        <v>19</v>
      </c>
      <c r="C225" s="380" t="s">
        <v>30</v>
      </c>
      <c r="D225" s="289">
        <v>2</v>
      </c>
      <c r="E225" s="396" t="s">
        <v>22</v>
      </c>
      <c r="F225" s="396" t="s">
        <v>19</v>
      </c>
      <c r="G225" s="397">
        <v>5</v>
      </c>
      <c r="H225" s="397">
        <v>1</v>
      </c>
      <c r="I225" s="396" t="s">
        <v>22</v>
      </c>
      <c r="J225" s="328" t="s">
        <v>22</v>
      </c>
      <c r="K225" s="328" t="s">
        <v>54</v>
      </c>
      <c r="L225" s="329"/>
      <c r="M225" s="330"/>
      <c r="N225" s="323" t="s">
        <v>263</v>
      </c>
      <c r="O225" s="82"/>
      <c r="P225" s="82">
        <f>P226</f>
        <v>0</v>
      </c>
      <c r="Q225" s="82"/>
      <c r="R225" s="82">
        <f t="shared" si="53"/>
        <v>0</v>
      </c>
      <c r="S225" s="82"/>
      <c r="T225" s="82"/>
      <c r="U225" s="82"/>
      <c r="V225" s="82"/>
      <c r="W225" s="82"/>
      <c r="X225" s="170">
        <f t="shared" si="67"/>
        <v>0</v>
      </c>
      <c r="Y225" s="170">
        <f t="shared" si="68"/>
        <v>0</v>
      </c>
      <c r="Z225" s="170">
        <f t="shared" si="69"/>
        <v>0</v>
      </c>
      <c r="AA225" s="196">
        <v>0</v>
      </c>
      <c r="AB225" s="159"/>
      <c r="AC225" s="159"/>
      <c r="AD225" s="159"/>
      <c r="AE225" s="159"/>
    </row>
    <row r="226" spans="1:31" ht="33.75" customHeight="1">
      <c r="A226" s="384">
        <v>7</v>
      </c>
      <c r="B226" s="385" t="s">
        <v>19</v>
      </c>
      <c r="C226" s="385" t="s">
        <v>30</v>
      </c>
      <c r="D226" s="307">
        <v>2</v>
      </c>
      <c r="E226" s="400" t="s">
        <v>22</v>
      </c>
      <c r="F226" s="400" t="s">
        <v>19</v>
      </c>
      <c r="G226" s="398">
        <v>5</v>
      </c>
      <c r="H226" s="398">
        <v>1</v>
      </c>
      <c r="I226" s="400" t="s">
        <v>22</v>
      </c>
      <c r="J226" s="314" t="s">
        <v>22</v>
      </c>
      <c r="K226" s="314" t="s">
        <v>54</v>
      </c>
      <c r="L226" s="314" t="s">
        <v>100</v>
      </c>
      <c r="M226" s="326">
        <v>7</v>
      </c>
      <c r="N226" s="407" t="s">
        <v>264</v>
      </c>
      <c r="O226" s="81"/>
      <c r="P226" s="81">
        <f>'LRA SP2D'!O227</f>
        <v>0</v>
      </c>
      <c r="Q226" s="81"/>
      <c r="R226" s="81">
        <f t="shared" si="53"/>
        <v>0</v>
      </c>
      <c r="S226" s="81"/>
      <c r="T226" s="81"/>
      <c r="U226" s="81"/>
      <c r="V226" s="81"/>
      <c r="W226" s="81"/>
      <c r="X226" s="161">
        <f t="shared" si="67"/>
        <v>0</v>
      </c>
      <c r="Y226" s="161">
        <f t="shared" si="68"/>
        <v>0</v>
      </c>
      <c r="Z226" s="161">
        <f t="shared" si="69"/>
        <v>0</v>
      </c>
      <c r="AA226" s="199">
        <v>0</v>
      </c>
      <c r="AB226" s="3"/>
      <c r="AC226" s="3"/>
      <c r="AD226" s="3"/>
      <c r="AE226" s="3"/>
    </row>
    <row r="227" spans="1:31" ht="16.3">
      <c r="A227" s="71"/>
      <c r="B227" s="72"/>
      <c r="C227" s="72"/>
      <c r="D227" s="16"/>
      <c r="E227" s="16"/>
      <c r="F227" s="16"/>
      <c r="G227" s="16"/>
      <c r="H227" s="16"/>
      <c r="I227" s="16"/>
      <c r="J227" s="36"/>
      <c r="K227" s="85"/>
      <c r="L227" s="85"/>
      <c r="M227" s="86"/>
      <c r="N227" s="128"/>
      <c r="O227" s="81"/>
      <c r="P227" s="81"/>
      <c r="Q227" s="81"/>
      <c r="R227" s="81"/>
      <c r="S227" s="34"/>
      <c r="T227" s="81"/>
      <c r="U227" s="81"/>
      <c r="V227" s="81"/>
      <c r="W227" s="81"/>
      <c r="X227" s="161"/>
      <c r="Y227" s="161"/>
      <c r="Z227" s="161"/>
      <c r="AA227" s="199"/>
      <c r="AB227" s="3"/>
      <c r="AC227" s="3"/>
      <c r="AD227" s="3"/>
      <c r="AE227" s="3"/>
    </row>
    <row r="228" spans="1:31" ht="53.25" customHeight="1">
      <c r="A228" s="62">
        <v>7</v>
      </c>
      <c r="B228" s="111" t="s">
        <v>19</v>
      </c>
      <c r="C228" s="111" t="s">
        <v>30</v>
      </c>
      <c r="D228" s="14">
        <v>2</v>
      </c>
      <c r="E228" s="112" t="s">
        <v>22</v>
      </c>
      <c r="F228" s="112" t="s">
        <v>30</v>
      </c>
      <c r="G228" s="64"/>
      <c r="H228" s="64"/>
      <c r="I228" s="64"/>
      <c r="J228" s="64"/>
      <c r="K228" s="64"/>
      <c r="L228" s="64"/>
      <c r="M228" s="80"/>
      <c r="N228" s="321" t="s">
        <v>267</v>
      </c>
      <c r="O228" s="165"/>
      <c r="P228" s="165">
        <f>P229</f>
        <v>524180800</v>
      </c>
      <c r="Q228" s="165"/>
      <c r="R228" s="165">
        <f t="shared" si="53"/>
        <v>524180800</v>
      </c>
      <c r="S228" s="165">
        <f>'LRA SP2D'!R229</f>
        <v>449526181</v>
      </c>
      <c r="T228" s="165"/>
      <c r="U228" s="165">
        <f>'LRA SP2D'!U229</f>
        <v>472595981</v>
      </c>
      <c r="V228" s="165"/>
      <c r="W228" s="165">
        <f t="shared" si="54"/>
        <v>472595981</v>
      </c>
      <c r="X228" s="168">
        <f t="shared" si="55"/>
        <v>51584819</v>
      </c>
      <c r="Y228" s="168"/>
      <c r="Z228" s="168">
        <f t="shared" si="56"/>
        <v>-23069800</v>
      </c>
      <c r="AA228" s="198">
        <f t="shared" si="57"/>
        <v>0.90158964426014843</v>
      </c>
      <c r="AB228" s="3"/>
      <c r="AC228" s="3"/>
      <c r="AD228" s="3"/>
      <c r="AE228" s="3"/>
    </row>
    <row r="229" spans="1:31" ht="33.75" customHeight="1">
      <c r="A229" s="65">
        <v>7</v>
      </c>
      <c r="B229" s="113" t="s">
        <v>19</v>
      </c>
      <c r="C229" s="113" t="s">
        <v>30</v>
      </c>
      <c r="D229" s="12">
        <v>2</v>
      </c>
      <c r="E229" s="115" t="s">
        <v>22</v>
      </c>
      <c r="F229" s="115" t="s">
        <v>30</v>
      </c>
      <c r="G229" s="69">
        <v>5</v>
      </c>
      <c r="H229" s="69">
        <v>1</v>
      </c>
      <c r="I229" s="115" t="s">
        <v>22</v>
      </c>
      <c r="J229" s="16"/>
      <c r="K229" s="16"/>
      <c r="L229" s="16"/>
      <c r="M229" s="33"/>
      <c r="N229" s="53" t="s">
        <v>123</v>
      </c>
      <c r="O229" s="82"/>
      <c r="P229" s="82">
        <f>P230+P242+P249+P252+P256</f>
        <v>524180800</v>
      </c>
      <c r="Q229" s="82"/>
      <c r="R229" s="82">
        <f t="shared" si="53"/>
        <v>524180800</v>
      </c>
      <c r="S229" s="82">
        <f>'LRA SP2D'!R230</f>
        <v>449526181</v>
      </c>
      <c r="T229" s="82"/>
      <c r="U229" s="82">
        <f>'LRA SP2D'!U230</f>
        <v>472595981</v>
      </c>
      <c r="V229" s="82"/>
      <c r="W229" s="82">
        <f t="shared" si="54"/>
        <v>472595981</v>
      </c>
      <c r="X229" s="170">
        <f t="shared" si="55"/>
        <v>51584819</v>
      </c>
      <c r="Y229" s="170"/>
      <c r="Z229" s="170">
        <f t="shared" si="56"/>
        <v>-23069800</v>
      </c>
      <c r="AA229" s="196">
        <f t="shared" si="57"/>
        <v>0.90158964426014843</v>
      </c>
      <c r="AB229" s="3"/>
      <c r="AC229" s="3"/>
      <c r="AD229" s="3"/>
      <c r="AE229" s="3"/>
    </row>
    <row r="230" spans="1:31" ht="33.75" customHeight="1">
      <c r="A230" s="65">
        <v>7</v>
      </c>
      <c r="B230" s="113" t="s">
        <v>19</v>
      </c>
      <c r="C230" s="113" t="s">
        <v>30</v>
      </c>
      <c r="D230" s="12">
        <v>2</v>
      </c>
      <c r="E230" s="115" t="s">
        <v>22</v>
      </c>
      <c r="F230" s="115" t="s">
        <v>30</v>
      </c>
      <c r="G230" s="69">
        <v>5</v>
      </c>
      <c r="H230" s="69">
        <v>1</v>
      </c>
      <c r="I230" s="115" t="s">
        <v>22</v>
      </c>
      <c r="J230" s="104" t="s">
        <v>19</v>
      </c>
      <c r="K230" s="16"/>
      <c r="L230" s="16"/>
      <c r="M230" s="33"/>
      <c r="N230" s="53" t="s">
        <v>65</v>
      </c>
      <c r="O230" s="82"/>
      <c r="P230" s="82">
        <f>P231</f>
        <v>172311100</v>
      </c>
      <c r="Q230" s="82"/>
      <c r="R230" s="82">
        <f t="shared" si="53"/>
        <v>172311100</v>
      </c>
      <c r="S230" s="82">
        <f>S231</f>
        <v>0</v>
      </c>
      <c r="T230" s="82"/>
      <c r="U230" s="82">
        <f>U231</f>
        <v>0</v>
      </c>
      <c r="V230" s="82"/>
      <c r="W230" s="82">
        <f t="shared" si="54"/>
        <v>0</v>
      </c>
      <c r="X230" s="170">
        <f t="shared" si="55"/>
        <v>172311100</v>
      </c>
      <c r="Y230" s="170"/>
      <c r="Z230" s="170">
        <f t="shared" si="56"/>
        <v>0</v>
      </c>
      <c r="AA230" s="196">
        <f t="shared" si="57"/>
        <v>0</v>
      </c>
      <c r="AB230" s="3"/>
      <c r="AC230" s="3"/>
      <c r="AD230" s="3"/>
      <c r="AE230" s="3"/>
    </row>
    <row r="231" spans="1:31" ht="33.75" customHeight="1">
      <c r="A231" s="65">
        <v>7</v>
      </c>
      <c r="B231" s="113" t="s">
        <v>19</v>
      </c>
      <c r="C231" s="113" t="s">
        <v>30</v>
      </c>
      <c r="D231" s="12">
        <v>2</v>
      </c>
      <c r="E231" s="115" t="s">
        <v>22</v>
      </c>
      <c r="F231" s="115" t="s">
        <v>30</v>
      </c>
      <c r="G231" s="69">
        <v>5</v>
      </c>
      <c r="H231" s="69">
        <v>1</v>
      </c>
      <c r="I231" s="115" t="s">
        <v>22</v>
      </c>
      <c r="J231" s="104" t="s">
        <v>19</v>
      </c>
      <c r="K231" s="104" t="s">
        <v>19</v>
      </c>
      <c r="L231" s="85"/>
      <c r="M231" s="86"/>
      <c r="N231" s="129" t="s">
        <v>131</v>
      </c>
      <c r="O231" s="82"/>
      <c r="P231" s="82">
        <f>SUM(P232:P241)</f>
        <v>172311100</v>
      </c>
      <c r="Q231" s="82"/>
      <c r="R231" s="82">
        <f t="shared" si="53"/>
        <v>172311100</v>
      </c>
      <c r="S231" s="82"/>
      <c r="T231" s="82"/>
      <c r="U231" s="82"/>
      <c r="V231" s="82"/>
      <c r="W231" s="82">
        <f t="shared" si="54"/>
        <v>0</v>
      </c>
      <c r="X231" s="170">
        <f t="shared" si="55"/>
        <v>172311100</v>
      </c>
      <c r="Y231" s="170"/>
      <c r="Z231" s="170">
        <f t="shared" si="56"/>
        <v>0</v>
      </c>
      <c r="AA231" s="196">
        <f t="shared" si="57"/>
        <v>0</v>
      </c>
      <c r="AB231" s="3"/>
      <c r="AC231" s="3"/>
      <c r="AD231" s="3"/>
      <c r="AE231" s="3"/>
    </row>
    <row r="232" spans="1:31" ht="33.75" customHeight="1">
      <c r="A232" s="384">
        <v>7</v>
      </c>
      <c r="B232" s="385" t="s">
        <v>19</v>
      </c>
      <c r="C232" s="385" t="s">
        <v>30</v>
      </c>
      <c r="D232" s="307">
        <v>2</v>
      </c>
      <c r="E232" s="400" t="s">
        <v>22</v>
      </c>
      <c r="F232" s="400" t="s">
        <v>30</v>
      </c>
      <c r="G232" s="398">
        <v>5</v>
      </c>
      <c r="H232" s="398">
        <v>1</v>
      </c>
      <c r="I232" s="400" t="s">
        <v>22</v>
      </c>
      <c r="J232" s="306" t="s">
        <v>19</v>
      </c>
      <c r="K232" s="306" t="s">
        <v>19</v>
      </c>
      <c r="L232" s="411" t="s">
        <v>171</v>
      </c>
      <c r="M232" s="406">
        <v>2</v>
      </c>
      <c r="N232" s="407" t="s">
        <v>258</v>
      </c>
      <c r="O232" s="81"/>
      <c r="P232" s="81">
        <f>'LRA SP2D'!O233</f>
        <v>36000000</v>
      </c>
      <c r="Q232" s="81"/>
      <c r="R232" s="81">
        <f t="shared" si="53"/>
        <v>36000000</v>
      </c>
      <c r="S232" s="81">
        <f>'LRA SP2D'!R233</f>
        <v>32510000</v>
      </c>
      <c r="T232" s="81"/>
      <c r="U232" s="81">
        <f>S232</f>
        <v>32510000</v>
      </c>
      <c r="V232" s="81"/>
      <c r="W232" s="81">
        <f t="shared" si="54"/>
        <v>32510000</v>
      </c>
      <c r="X232" s="161">
        <f t="shared" si="55"/>
        <v>3490000</v>
      </c>
      <c r="Y232" s="161"/>
      <c r="Z232" s="161">
        <f t="shared" si="56"/>
        <v>0</v>
      </c>
      <c r="AA232" s="199">
        <f t="shared" si="57"/>
        <v>0.9030555555555555</v>
      </c>
      <c r="AB232" s="3"/>
      <c r="AC232" s="3"/>
      <c r="AD232" s="3"/>
      <c r="AE232" s="3"/>
    </row>
    <row r="233" spans="1:31" ht="33.75" customHeight="1">
      <c r="A233" s="67">
        <v>7</v>
      </c>
      <c r="B233" s="114" t="s">
        <v>19</v>
      </c>
      <c r="C233" s="114" t="s">
        <v>30</v>
      </c>
      <c r="D233" s="16">
        <v>2</v>
      </c>
      <c r="E233" s="116" t="s">
        <v>22</v>
      </c>
      <c r="F233" s="116" t="s">
        <v>30</v>
      </c>
      <c r="G233" s="70">
        <v>5</v>
      </c>
      <c r="H233" s="70">
        <v>1</v>
      </c>
      <c r="I233" s="116" t="s">
        <v>22</v>
      </c>
      <c r="J233" s="105" t="s">
        <v>19</v>
      </c>
      <c r="K233" s="105" t="s">
        <v>19</v>
      </c>
      <c r="L233" s="117" t="s">
        <v>56</v>
      </c>
      <c r="M233" s="86">
        <v>4</v>
      </c>
      <c r="N233" s="34" t="s">
        <v>132</v>
      </c>
      <c r="O233" s="81"/>
      <c r="P233" s="81">
        <f>'LRA SP2D'!O234</f>
        <v>20495050</v>
      </c>
      <c r="Q233" s="81"/>
      <c r="R233" s="81">
        <f t="shared" si="53"/>
        <v>20495050</v>
      </c>
      <c r="S233" s="81">
        <f>'LRA SP2D'!R234</f>
        <v>19568050</v>
      </c>
      <c r="T233" s="81"/>
      <c r="U233" s="81">
        <f>'LRA SP2D'!U234</f>
        <v>19470550</v>
      </c>
      <c r="V233" s="81"/>
      <c r="W233" s="81">
        <f t="shared" si="54"/>
        <v>19470550</v>
      </c>
      <c r="X233" s="161">
        <f t="shared" si="55"/>
        <v>1024500</v>
      </c>
      <c r="Y233" s="161"/>
      <c r="Z233" s="161">
        <f t="shared" si="56"/>
        <v>97500</v>
      </c>
      <c r="AA233" s="199">
        <f t="shared" si="57"/>
        <v>0.95001232004801162</v>
      </c>
      <c r="AB233" s="3"/>
      <c r="AC233" s="3"/>
      <c r="AD233" s="3"/>
      <c r="AE233" s="3"/>
    </row>
    <row r="234" spans="1:31" ht="44.25" customHeight="1">
      <c r="A234" s="67">
        <v>7</v>
      </c>
      <c r="B234" s="114" t="s">
        <v>19</v>
      </c>
      <c r="C234" s="114" t="s">
        <v>30</v>
      </c>
      <c r="D234" s="16">
        <v>2</v>
      </c>
      <c r="E234" s="116" t="s">
        <v>22</v>
      </c>
      <c r="F234" s="116" t="s">
        <v>30</v>
      </c>
      <c r="G234" s="70">
        <v>5</v>
      </c>
      <c r="H234" s="70">
        <v>1</v>
      </c>
      <c r="I234" s="116" t="s">
        <v>22</v>
      </c>
      <c r="J234" s="105" t="s">
        <v>19</v>
      </c>
      <c r="K234" s="105" t="s">
        <v>19</v>
      </c>
      <c r="L234" s="117" t="s">
        <v>56</v>
      </c>
      <c r="M234" s="86">
        <v>5</v>
      </c>
      <c r="N234" s="39" t="s">
        <v>133</v>
      </c>
      <c r="O234" s="81"/>
      <c r="P234" s="81">
        <f>'LRA SP2D'!O235</f>
        <v>1610000</v>
      </c>
      <c r="Q234" s="81"/>
      <c r="R234" s="81">
        <f t="shared" si="53"/>
        <v>1610000</v>
      </c>
      <c r="S234" s="81">
        <f>'LRA SP2D'!R235</f>
        <v>1038000</v>
      </c>
      <c r="T234" s="81"/>
      <c r="U234" s="81">
        <f>'LRA SP2D'!U235</f>
        <v>1038000</v>
      </c>
      <c r="V234" s="81"/>
      <c r="W234" s="81">
        <f t="shared" si="54"/>
        <v>1038000</v>
      </c>
      <c r="X234" s="161">
        <f t="shared" si="55"/>
        <v>572000</v>
      </c>
      <c r="Y234" s="161"/>
      <c r="Z234" s="161">
        <f t="shared" si="56"/>
        <v>0</v>
      </c>
      <c r="AA234" s="199">
        <f t="shared" si="57"/>
        <v>0.64472049689440991</v>
      </c>
      <c r="AB234" s="3"/>
      <c r="AC234" s="3"/>
      <c r="AD234" s="3"/>
      <c r="AE234" s="3"/>
    </row>
    <row r="235" spans="1:31" ht="51" customHeight="1">
      <c r="A235" s="67">
        <v>7</v>
      </c>
      <c r="B235" s="114" t="s">
        <v>19</v>
      </c>
      <c r="C235" s="114" t="s">
        <v>30</v>
      </c>
      <c r="D235" s="16">
        <v>2</v>
      </c>
      <c r="E235" s="116" t="s">
        <v>22</v>
      </c>
      <c r="F235" s="116" t="s">
        <v>30</v>
      </c>
      <c r="G235" s="70">
        <v>5</v>
      </c>
      <c r="H235" s="70">
        <v>1</v>
      </c>
      <c r="I235" s="116" t="s">
        <v>22</v>
      </c>
      <c r="J235" s="105" t="s">
        <v>19</v>
      </c>
      <c r="K235" s="105" t="s">
        <v>19</v>
      </c>
      <c r="L235" s="117" t="s">
        <v>56</v>
      </c>
      <c r="M235" s="118" t="s">
        <v>89</v>
      </c>
      <c r="N235" s="39" t="s">
        <v>134</v>
      </c>
      <c r="O235" s="81"/>
      <c r="P235" s="81">
        <f>'LRA SP2D'!O236</f>
        <v>10986050</v>
      </c>
      <c r="Q235" s="81"/>
      <c r="R235" s="81">
        <f t="shared" si="53"/>
        <v>10986050</v>
      </c>
      <c r="S235" s="81">
        <f>'LRA SP2D'!R236</f>
        <v>8396500</v>
      </c>
      <c r="T235" s="81"/>
      <c r="U235" s="81">
        <f>'LRA SP2D'!U236</f>
        <v>8331500</v>
      </c>
      <c r="V235" s="81"/>
      <c r="W235" s="81">
        <f t="shared" si="54"/>
        <v>8331500</v>
      </c>
      <c r="X235" s="161">
        <f t="shared" si="55"/>
        <v>2654550</v>
      </c>
      <c r="Y235" s="161"/>
      <c r="Z235" s="161">
        <f t="shared" si="56"/>
        <v>65000</v>
      </c>
      <c r="AA235" s="199">
        <f t="shared" si="57"/>
        <v>0.75837084302365276</v>
      </c>
      <c r="AB235" s="3"/>
      <c r="AC235" s="3"/>
      <c r="AD235" s="3"/>
      <c r="AE235" s="3"/>
    </row>
    <row r="236" spans="1:31" ht="40.5" customHeight="1">
      <c r="A236" s="67">
        <v>7</v>
      </c>
      <c r="B236" s="114" t="s">
        <v>19</v>
      </c>
      <c r="C236" s="114" t="s">
        <v>30</v>
      </c>
      <c r="D236" s="16">
        <v>2</v>
      </c>
      <c r="E236" s="116" t="s">
        <v>22</v>
      </c>
      <c r="F236" s="116" t="s">
        <v>30</v>
      </c>
      <c r="G236" s="70">
        <v>5</v>
      </c>
      <c r="H236" s="70">
        <v>1</v>
      </c>
      <c r="I236" s="116" t="s">
        <v>22</v>
      </c>
      <c r="J236" s="105" t="s">
        <v>19</v>
      </c>
      <c r="K236" s="105" t="s">
        <v>19</v>
      </c>
      <c r="L236" s="117" t="s">
        <v>56</v>
      </c>
      <c r="M236" s="86">
        <v>9</v>
      </c>
      <c r="N236" s="39" t="s">
        <v>135</v>
      </c>
      <c r="O236" s="81"/>
      <c r="P236" s="81">
        <f>'LRA SP2D'!O237</f>
        <v>500000</v>
      </c>
      <c r="Q236" s="81"/>
      <c r="R236" s="81">
        <f t="shared" si="53"/>
        <v>500000</v>
      </c>
      <c r="S236" s="81"/>
      <c r="T236" s="81"/>
      <c r="U236" s="81"/>
      <c r="V236" s="81"/>
      <c r="W236" s="81">
        <f t="shared" si="54"/>
        <v>0</v>
      </c>
      <c r="X236" s="161">
        <f t="shared" si="55"/>
        <v>500000</v>
      </c>
      <c r="Y236" s="161"/>
      <c r="Z236" s="161">
        <f t="shared" si="56"/>
        <v>0</v>
      </c>
      <c r="AA236" s="199">
        <f t="shared" si="57"/>
        <v>0</v>
      </c>
      <c r="AB236" s="3"/>
      <c r="AC236" s="3"/>
      <c r="AD236" s="3"/>
      <c r="AE236" s="3"/>
    </row>
    <row r="237" spans="1:31" ht="57.75" customHeight="1">
      <c r="A237" s="67">
        <v>7</v>
      </c>
      <c r="B237" s="114" t="s">
        <v>19</v>
      </c>
      <c r="C237" s="114" t="s">
        <v>30</v>
      </c>
      <c r="D237" s="16">
        <v>2</v>
      </c>
      <c r="E237" s="116" t="s">
        <v>22</v>
      </c>
      <c r="F237" s="116" t="s">
        <v>30</v>
      </c>
      <c r="G237" s="70">
        <v>5</v>
      </c>
      <c r="H237" s="70">
        <v>1</v>
      </c>
      <c r="I237" s="116" t="s">
        <v>22</v>
      </c>
      <c r="J237" s="105" t="s">
        <v>19</v>
      </c>
      <c r="K237" s="105" t="s">
        <v>19</v>
      </c>
      <c r="L237" s="117" t="s">
        <v>52</v>
      </c>
      <c r="M237" s="86">
        <v>5</v>
      </c>
      <c r="N237" s="39" t="s">
        <v>136</v>
      </c>
      <c r="O237" s="81"/>
      <c r="P237" s="81">
        <f>'LRA SP2D'!O238</f>
        <v>800000</v>
      </c>
      <c r="Q237" s="81"/>
      <c r="R237" s="81">
        <f t="shared" si="53"/>
        <v>800000</v>
      </c>
      <c r="S237" s="81">
        <f>'LRA SP2D'!R237</f>
        <v>500000</v>
      </c>
      <c r="T237" s="81"/>
      <c r="U237" s="81">
        <f>'LRA SP2D'!U237</f>
        <v>500000</v>
      </c>
      <c r="V237" s="81"/>
      <c r="W237" s="81">
        <f t="shared" si="54"/>
        <v>500000</v>
      </c>
      <c r="X237" s="161">
        <f t="shared" si="55"/>
        <v>300000</v>
      </c>
      <c r="Y237" s="161"/>
      <c r="Z237" s="161">
        <f t="shared" si="56"/>
        <v>0</v>
      </c>
      <c r="AA237" s="199">
        <f t="shared" si="57"/>
        <v>0.625</v>
      </c>
      <c r="AB237" s="3"/>
      <c r="AC237" s="3"/>
      <c r="AD237" s="3"/>
      <c r="AE237" s="3"/>
    </row>
    <row r="238" spans="1:31" ht="48.75" customHeight="1">
      <c r="A238" s="67">
        <v>7</v>
      </c>
      <c r="B238" s="114" t="s">
        <v>19</v>
      </c>
      <c r="C238" s="114" t="s">
        <v>30</v>
      </c>
      <c r="D238" s="16">
        <v>2</v>
      </c>
      <c r="E238" s="116" t="s">
        <v>22</v>
      </c>
      <c r="F238" s="116" t="s">
        <v>30</v>
      </c>
      <c r="G238" s="70">
        <v>5</v>
      </c>
      <c r="H238" s="70">
        <v>1</v>
      </c>
      <c r="I238" s="116" t="s">
        <v>22</v>
      </c>
      <c r="J238" s="105" t="s">
        <v>19</v>
      </c>
      <c r="K238" s="105" t="s">
        <v>19</v>
      </c>
      <c r="L238" s="117" t="s">
        <v>52</v>
      </c>
      <c r="M238" s="86">
        <v>6</v>
      </c>
      <c r="N238" s="39" t="s">
        <v>204</v>
      </c>
      <c r="O238" s="81"/>
      <c r="P238" s="81">
        <f>'LRA SP2D'!O239</f>
        <v>0</v>
      </c>
      <c r="Q238" s="81"/>
      <c r="R238" s="81">
        <f t="shared" si="53"/>
        <v>0</v>
      </c>
      <c r="S238" s="81"/>
      <c r="T238" s="81"/>
      <c r="U238" s="81"/>
      <c r="V238" s="81"/>
      <c r="W238" s="81">
        <f t="shared" si="54"/>
        <v>0</v>
      </c>
      <c r="X238" s="161">
        <f t="shared" si="55"/>
        <v>0</v>
      </c>
      <c r="Y238" s="161"/>
      <c r="Z238" s="161">
        <f t="shared" si="56"/>
        <v>0</v>
      </c>
      <c r="AA238" s="199">
        <v>0</v>
      </c>
      <c r="AB238" s="3"/>
      <c r="AC238" s="3"/>
      <c r="AD238" s="3"/>
      <c r="AE238" s="3"/>
    </row>
    <row r="239" spans="1:31" ht="40.5" customHeight="1">
      <c r="A239" s="67">
        <v>7</v>
      </c>
      <c r="B239" s="114" t="s">
        <v>19</v>
      </c>
      <c r="C239" s="114" t="s">
        <v>30</v>
      </c>
      <c r="D239" s="16">
        <v>2</v>
      </c>
      <c r="E239" s="116" t="s">
        <v>22</v>
      </c>
      <c r="F239" s="116" t="s">
        <v>30</v>
      </c>
      <c r="G239" s="70">
        <v>5</v>
      </c>
      <c r="H239" s="70">
        <v>1</v>
      </c>
      <c r="I239" s="116" t="s">
        <v>22</v>
      </c>
      <c r="J239" s="105" t="s">
        <v>19</v>
      </c>
      <c r="K239" s="105" t="s">
        <v>19</v>
      </c>
      <c r="L239" s="117" t="s">
        <v>66</v>
      </c>
      <c r="M239" s="86">
        <v>2</v>
      </c>
      <c r="N239" s="128" t="s">
        <v>126</v>
      </c>
      <c r="O239" s="81"/>
      <c r="P239" s="81">
        <f>'LRA SP2D'!O240</f>
        <v>22245000</v>
      </c>
      <c r="Q239" s="81"/>
      <c r="R239" s="81">
        <f t="shared" si="53"/>
        <v>22245000</v>
      </c>
      <c r="S239" s="81">
        <f>'LRA SP2D'!R238</f>
        <v>0</v>
      </c>
      <c r="T239" s="81"/>
      <c r="U239" s="81">
        <f>'LRA SP2D'!U238</f>
        <v>0</v>
      </c>
      <c r="V239" s="81"/>
      <c r="W239" s="81">
        <f t="shared" si="54"/>
        <v>0</v>
      </c>
      <c r="X239" s="161">
        <f>R239-W239</f>
        <v>22245000</v>
      </c>
      <c r="Y239" s="161"/>
      <c r="Z239" s="161">
        <f t="shared" si="56"/>
        <v>0</v>
      </c>
      <c r="AA239" s="199">
        <f t="shared" si="57"/>
        <v>0</v>
      </c>
      <c r="AB239" s="3"/>
      <c r="AC239" s="3"/>
      <c r="AD239" s="3"/>
      <c r="AE239" s="3"/>
    </row>
    <row r="240" spans="1:31" ht="38.25" customHeight="1">
      <c r="A240" s="67">
        <v>7</v>
      </c>
      <c r="B240" s="114" t="s">
        <v>19</v>
      </c>
      <c r="C240" s="114" t="s">
        <v>30</v>
      </c>
      <c r="D240" s="16">
        <v>2</v>
      </c>
      <c r="E240" s="116" t="s">
        <v>22</v>
      </c>
      <c r="F240" s="116" t="s">
        <v>30</v>
      </c>
      <c r="G240" s="70">
        <v>5</v>
      </c>
      <c r="H240" s="70">
        <v>1</v>
      </c>
      <c r="I240" s="116" t="s">
        <v>22</v>
      </c>
      <c r="J240" s="105" t="s">
        <v>19</v>
      </c>
      <c r="K240" s="105" t="s">
        <v>19</v>
      </c>
      <c r="L240" s="117" t="s">
        <v>66</v>
      </c>
      <c r="M240" s="86">
        <v>8</v>
      </c>
      <c r="N240" s="128" t="s">
        <v>113</v>
      </c>
      <c r="O240" s="81"/>
      <c r="P240" s="81">
        <f>'LRA SP2D'!O241</f>
        <v>79675000</v>
      </c>
      <c r="Q240" s="81"/>
      <c r="R240" s="81">
        <f t="shared" si="53"/>
        <v>79675000</v>
      </c>
      <c r="S240" s="81">
        <f>'LRA SP2D'!R239</f>
        <v>0</v>
      </c>
      <c r="T240" s="81"/>
      <c r="U240" s="81">
        <f>'LRA SP2D'!U239</f>
        <v>0</v>
      </c>
      <c r="V240" s="81"/>
      <c r="W240" s="81">
        <f t="shared" si="54"/>
        <v>0</v>
      </c>
      <c r="X240" s="161">
        <f t="shared" si="55"/>
        <v>79675000</v>
      </c>
      <c r="Y240" s="161"/>
      <c r="Z240" s="161">
        <f t="shared" si="56"/>
        <v>0</v>
      </c>
      <c r="AA240" s="199">
        <f t="shared" si="57"/>
        <v>0</v>
      </c>
      <c r="AB240" s="3"/>
      <c r="AC240" s="3"/>
      <c r="AD240" s="3"/>
      <c r="AE240" s="3"/>
    </row>
    <row r="241" spans="1:31" ht="30" customHeight="1">
      <c r="A241" s="67">
        <v>7</v>
      </c>
      <c r="B241" s="114" t="s">
        <v>19</v>
      </c>
      <c r="C241" s="114" t="s">
        <v>30</v>
      </c>
      <c r="D241" s="16">
        <v>2</v>
      </c>
      <c r="E241" s="116" t="s">
        <v>22</v>
      </c>
      <c r="F241" s="116" t="s">
        <v>30</v>
      </c>
      <c r="G241" s="70">
        <v>5</v>
      </c>
      <c r="H241" s="70">
        <v>1</v>
      </c>
      <c r="I241" s="116" t="s">
        <v>22</v>
      </c>
      <c r="J241" s="105" t="s">
        <v>19</v>
      </c>
      <c r="K241" s="105" t="s">
        <v>19</v>
      </c>
      <c r="L241" s="117" t="s">
        <v>128</v>
      </c>
      <c r="M241" s="86">
        <v>5</v>
      </c>
      <c r="N241" s="128" t="s">
        <v>129</v>
      </c>
      <c r="O241" s="81"/>
      <c r="P241" s="81">
        <f>'LRA SP2D'!O242</f>
        <v>0</v>
      </c>
      <c r="Q241" s="81"/>
      <c r="R241" s="81">
        <f t="shared" si="53"/>
        <v>0</v>
      </c>
      <c r="S241" s="81"/>
      <c r="T241" s="81"/>
      <c r="U241" s="81"/>
      <c r="V241" s="81"/>
      <c r="W241" s="81">
        <f t="shared" si="54"/>
        <v>0</v>
      </c>
      <c r="X241" s="161">
        <f t="shared" si="55"/>
        <v>0</v>
      </c>
      <c r="Y241" s="161"/>
      <c r="Z241" s="161">
        <f t="shared" si="56"/>
        <v>0</v>
      </c>
      <c r="AA241" s="199">
        <v>0</v>
      </c>
      <c r="AB241" s="3"/>
      <c r="AC241" s="3"/>
      <c r="AD241" s="3"/>
      <c r="AE241" s="3"/>
    </row>
    <row r="242" spans="1:31" ht="30" customHeight="1">
      <c r="A242" s="65">
        <v>7</v>
      </c>
      <c r="B242" s="113" t="s">
        <v>19</v>
      </c>
      <c r="C242" s="113" t="s">
        <v>30</v>
      </c>
      <c r="D242" s="12">
        <v>2</v>
      </c>
      <c r="E242" s="115" t="s">
        <v>22</v>
      </c>
      <c r="F242" s="115" t="s">
        <v>30</v>
      </c>
      <c r="G242" s="69">
        <v>5</v>
      </c>
      <c r="H242" s="69">
        <v>1</v>
      </c>
      <c r="I242" s="115" t="s">
        <v>22</v>
      </c>
      <c r="J242" s="104" t="s">
        <v>22</v>
      </c>
      <c r="K242" s="16"/>
      <c r="L242" s="16"/>
      <c r="M242" s="33"/>
      <c r="N242" s="53" t="s">
        <v>137</v>
      </c>
      <c r="O242" s="81"/>
      <c r="P242" s="82">
        <f>P243</f>
        <v>238180000</v>
      </c>
      <c r="Q242" s="82"/>
      <c r="R242" s="82">
        <f t="shared" ref="R242:R293" si="71">O242+P242+Q242</f>
        <v>238180000</v>
      </c>
      <c r="S242" s="82">
        <f>'LRA SP2D'!R243</f>
        <v>213830000</v>
      </c>
      <c r="T242" s="82"/>
      <c r="U242" s="82">
        <f>S242</f>
        <v>213830000</v>
      </c>
      <c r="V242" s="82"/>
      <c r="W242" s="82">
        <f t="shared" ref="W242:W293" si="72">T242+U242+V242</f>
        <v>213830000</v>
      </c>
      <c r="X242" s="170">
        <f t="shared" ref="X242:X293" si="73">R242-W242</f>
        <v>24350000</v>
      </c>
      <c r="Y242" s="170"/>
      <c r="Z242" s="170">
        <f t="shared" ref="Z242:Z293" si="74">S242-W242</f>
        <v>0</v>
      </c>
      <c r="AA242" s="196">
        <f t="shared" ref="AA242:AA293" si="75">W242/R242*100%</f>
        <v>0.89776639516332191</v>
      </c>
      <c r="AB242" s="3"/>
      <c r="AC242" s="3"/>
      <c r="AD242" s="3"/>
      <c r="AE242" s="3"/>
    </row>
    <row r="243" spans="1:31" ht="30" customHeight="1">
      <c r="A243" s="65">
        <v>7</v>
      </c>
      <c r="B243" s="113" t="s">
        <v>19</v>
      </c>
      <c r="C243" s="113" t="s">
        <v>30</v>
      </c>
      <c r="D243" s="12">
        <v>2</v>
      </c>
      <c r="E243" s="115" t="s">
        <v>22</v>
      </c>
      <c r="F243" s="115" t="s">
        <v>30</v>
      </c>
      <c r="G243" s="69">
        <v>5</v>
      </c>
      <c r="H243" s="69">
        <v>1</v>
      </c>
      <c r="I243" s="115" t="s">
        <v>22</v>
      </c>
      <c r="J243" s="104" t="s">
        <v>22</v>
      </c>
      <c r="K243" s="104" t="s">
        <v>19</v>
      </c>
      <c r="L243" s="16"/>
      <c r="M243" s="33"/>
      <c r="N243" s="129" t="s">
        <v>76</v>
      </c>
      <c r="O243" s="81"/>
      <c r="P243" s="82">
        <f>SUM(P244:P248)</f>
        <v>238180000</v>
      </c>
      <c r="Q243" s="82"/>
      <c r="R243" s="82">
        <f t="shared" si="71"/>
        <v>238180000</v>
      </c>
      <c r="S243" s="82">
        <f>'LRA SP2D'!R244</f>
        <v>206930000</v>
      </c>
      <c r="T243" s="82"/>
      <c r="U243" s="82">
        <f>S243</f>
        <v>206930000</v>
      </c>
      <c r="V243" s="82"/>
      <c r="W243" s="82">
        <f t="shared" si="72"/>
        <v>206930000</v>
      </c>
      <c r="X243" s="170">
        <f t="shared" si="73"/>
        <v>31250000</v>
      </c>
      <c r="Y243" s="170"/>
      <c r="Z243" s="170">
        <f t="shared" si="74"/>
        <v>0</v>
      </c>
      <c r="AA243" s="196">
        <f t="shared" si="75"/>
        <v>0.86879670837181966</v>
      </c>
      <c r="AB243" s="3"/>
      <c r="AC243" s="3"/>
      <c r="AD243" s="3"/>
      <c r="AE243" s="3"/>
    </row>
    <row r="244" spans="1:31" ht="52.5" customHeight="1">
      <c r="A244" s="67">
        <v>7</v>
      </c>
      <c r="B244" s="114" t="s">
        <v>19</v>
      </c>
      <c r="C244" s="114" t="s">
        <v>30</v>
      </c>
      <c r="D244" s="16">
        <v>2</v>
      </c>
      <c r="E244" s="116" t="s">
        <v>22</v>
      </c>
      <c r="F244" s="116" t="s">
        <v>30</v>
      </c>
      <c r="G244" s="70">
        <v>5</v>
      </c>
      <c r="H244" s="70">
        <v>1</v>
      </c>
      <c r="I244" s="116" t="s">
        <v>22</v>
      </c>
      <c r="J244" s="105" t="s">
        <v>22</v>
      </c>
      <c r="K244" s="105" t="s">
        <v>19</v>
      </c>
      <c r="L244" s="105" t="s">
        <v>27</v>
      </c>
      <c r="M244" s="119">
        <v>3</v>
      </c>
      <c r="N244" s="128" t="s">
        <v>152</v>
      </c>
      <c r="O244" s="82"/>
      <c r="P244" s="81">
        <f>'LRA SP2D'!O245</f>
        <v>80500000</v>
      </c>
      <c r="Q244" s="82"/>
      <c r="R244" s="81">
        <f t="shared" si="71"/>
        <v>80500000</v>
      </c>
      <c r="S244" s="81"/>
      <c r="T244" s="81"/>
      <c r="U244" s="81"/>
      <c r="V244" s="81"/>
      <c r="W244" s="81">
        <f t="shared" si="72"/>
        <v>0</v>
      </c>
      <c r="X244" s="161">
        <f t="shared" si="73"/>
        <v>80500000</v>
      </c>
      <c r="Y244" s="170"/>
      <c r="Z244" s="170">
        <f t="shared" si="74"/>
        <v>0</v>
      </c>
      <c r="AA244" s="196">
        <f t="shared" si="75"/>
        <v>0</v>
      </c>
      <c r="AB244" s="3"/>
      <c r="AC244" s="3"/>
      <c r="AD244" s="3"/>
      <c r="AE244" s="3"/>
    </row>
    <row r="245" spans="1:31" ht="30" customHeight="1">
      <c r="A245" s="67">
        <v>7</v>
      </c>
      <c r="B245" s="114" t="s">
        <v>19</v>
      </c>
      <c r="C245" s="114" t="s">
        <v>30</v>
      </c>
      <c r="D245" s="16">
        <v>2</v>
      </c>
      <c r="E245" s="116" t="s">
        <v>22</v>
      </c>
      <c r="F245" s="116" t="s">
        <v>30</v>
      </c>
      <c r="G245" s="70">
        <v>5</v>
      </c>
      <c r="H245" s="70">
        <v>1</v>
      </c>
      <c r="I245" s="116" t="s">
        <v>22</v>
      </c>
      <c r="J245" s="105" t="s">
        <v>22</v>
      </c>
      <c r="K245" s="105" t="s">
        <v>19</v>
      </c>
      <c r="L245" s="105" t="s">
        <v>27</v>
      </c>
      <c r="M245" s="119" t="s">
        <v>89</v>
      </c>
      <c r="N245" s="128" t="s">
        <v>138</v>
      </c>
      <c r="O245" s="82"/>
      <c r="P245" s="81">
        <f>'LRA SP2D'!O246</f>
        <v>108000000</v>
      </c>
      <c r="Q245" s="82"/>
      <c r="R245" s="81">
        <f t="shared" si="71"/>
        <v>108000000</v>
      </c>
      <c r="S245" s="81">
        <f>'LRA SP2D'!R246</f>
        <v>99000000</v>
      </c>
      <c r="T245" s="81"/>
      <c r="U245" s="81">
        <f>'LRA SP2D'!U246</f>
        <v>101000000</v>
      </c>
      <c r="V245" s="81"/>
      <c r="W245" s="81">
        <f t="shared" si="72"/>
        <v>101000000</v>
      </c>
      <c r="X245" s="161">
        <f t="shared" si="73"/>
        <v>7000000</v>
      </c>
      <c r="Y245" s="170"/>
      <c r="Z245" s="170">
        <f t="shared" si="74"/>
        <v>-2000000</v>
      </c>
      <c r="AA245" s="199">
        <f t="shared" si="75"/>
        <v>0.93518518518518523</v>
      </c>
      <c r="AB245" s="3"/>
      <c r="AC245" s="3"/>
      <c r="AD245" s="3"/>
      <c r="AE245" s="3"/>
    </row>
    <row r="246" spans="1:31" ht="30" customHeight="1">
      <c r="A246" s="384">
        <v>7</v>
      </c>
      <c r="B246" s="385" t="s">
        <v>19</v>
      </c>
      <c r="C246" s="385" t="s">
        <v>30</v>
      </c>
      <c r="D246" s="307">
        <v>2</v>
      </c>
      <c r="E246" s="400" t="s">
        <v>22</v>
      </c>
      <c r="F246" s="400" t="s">
        <v>30</v>
      </c>
      <c r="G246" s="398">
        <v>5</v>
      </c>
      <c r="H246" s="398">
        <v>1</v>
      </c>
      <c r="I246" s="400" t="s">
        <v>22</v>
      </c>
      <c r="J246" s="306" t="s">
        <v>22</v>
      </c>
      <c r="K246" s="306" t="s">
        <v>19</v>
      </c>
      <c r="L246" s="306" t="s">
        <v>56</v>
      </c>
      <c r="M246" s="414">
        <v>5</v>
      </c>
      <c r="N246" s="407" t="s">
        <v>287</v>
      </c>
      <c r="O246" s="82"/>
      <c r="P246" s="81">
        <f>'LRA SP2D'!O247</f>
        <v>10000000</v>
      </c>
      <c r="Q246" s="82"/>
      <c r="R246" s="81">
        <f t="shared" si="71"/>
        <v>10000000</v>
      </c>
      <c r="S246" s="81"/>
      <c r="T246" s="81"/>
      <c r="U246" s="81"/>
      <c r="V246" s="81"/>
      <c r="W246" s="81"/>
      <c r="X246" s="161"/>
      <c r="Y246" s="170"/>
      <c r="Z246" s="170">
        <f t="shared" ref="Z246:Z247" si="76">S246-W246</f>
        <v>0</v>
      </c>
      <c r="AA246" s="199">
        <f t="shared" ref="AA246:AA247" si="77">W246/R246*100%</f>
        <v>0</v>
      </c>
      <c r="AB246" s="3"/>
      <c r="AC246" s="3"/>
      <c r="AD246" s="3"/>
      <c r="AE246" s="3"/>
    </row>
    <row r="247" spans="1:31" ht="30" customHeight="1">
      <c r="A247" s="384">
        <v>7</v>
      </c>
      <c r="B247" s="385" t="s">
        <v>19</v>
      </c>
      <c r="C247" s="385" t="s">
        <v>30</v>
      </c>
      <c r="D247" s="307">
        <v>2</v>
      </c>
      <c r="E247" s="400" t="s">
        <v>22</v>
      </c>
      <c r="F247" s="400" t="s">
        <v>30</v>
      </c>
      <c r="G247" s="398">
        <v>5</v>
      </c>
      <c r="H247" s="398">
        <v>1</v>
      </c>
      <c r="I247" s="400" t="s">
        <v>22</v>
      </c>
      <c r="J247" s="306" t="s">
        <v>22</v>
      </c>
      <c r="K247" s="306" t="s">
        <v>19</v>
      </c>
      <c r="L247" s="306" t="s">
        <v>56</v>
      </c>
      <c r="M247" s="414">
        <v>7</v>
      </c>
      <c r="N247" s="407" t="s">
        <v>288</v>
      </c>
      <c r="O247" s="82"/>
      <c r="P247" s="81">
        <f>'LRA SP2D'!O248</f>
        <v>16430000</v>
      </c>
      <c r="Q247" s="82"/>
      <c r="R247" s="81">
        <f t="shared" si="71"/>
        <v>16430000</v>
      </c>
      <c r="S247" s="81"/>
      <c r="T247" s="81"/>
      <c r="U247" s="81"/>
      <c r="V247" s="81"/>
      <c r="W247" s="81"/>
      <c r="X247" s="161"/>
      <c r="Y247" s="170"/>
      <c r="Z247" s="170">
        <f t="shared" si="76"/>
        <v>0</v>
      </c>
      <c r="AA247" s="199">
        <f t="shared" si="77"/>
        <v>0</v>
      </c>
      <c r="AB247" s="3"/>
      <c r="AC247" s="3"/>
      <c r="AD247" s="3"/>
      <c r="AE247" s="3"/>
    </row>
    <row r="248" spans="1:31" ht="36.75" customHeight="1">
      <c r="A248" s="67">
        <v>7</v>
      </c>
      <c r="B248" s="114" t="s">
        <v>19</v>
      </c>
      <c r="C248" s="114" t="s">
        <v>30</v>
      </c>
      <c r="D248" s="16">
        <v>2</v>
      </c>
      <c r="E248" s="116" t="s">
        <v>22</v>
      </c>
      <c r="F248" s="116" t="s">
        <v>30</v>
      </c>
      <c r="G248" s="70">
        <v>5</v>
      </c>
      <c r="H248" s="70">
        <v>1</v>
      </c>
      <c r="I248" s="116" t="s">
        <v>22</v>
      </c>
      <c r="J248" s="105" t="s">
        <v>22</v>
      </c>
      <c r="K248" s="105" t="s">
        <v>19</v>
      </c>
      <c r="L248" s="105" t="s">
        <v>52</v>
      </c>
      <c r="M248" s="33">
        <v>7</v>
      </c>
      <c r="N248" s="128" t="s">
        <v>116</v>
      </c>
      <c r="O248" s="81"/>
      <c r="P248" s="81">
        <f>'LRA SP2D'!O249</f>
        <v>23250000</v>
      </c>
      <c r="Q248" s="81"/>
      <c r="R248" s="81">
        <f t="shared" si="71"/>
        <v>23250000</v>
      </c>
      <c r="S248" s="81">
        <f>'LRA SP2D'!R245</f>
        <v>60500000</v>
      </c>
      <c r="T248" s="81"/>
      <c r="U248" s="81">
        <f>'LRA SP2D'!U245</f>
        <v>78900000</v>
      </c>
      <c r="V248" s="81"/>
      <c r="W248" s="81">
        <f t="shared" si="72"/>
        <v>78900000</v>
      </c>
      <c r="X248" s="161">
        <f t="shared" si="73"/>
        <v>-55650000</v>
      </c>
      <c r="Y248" s="161"/>
      <c r="Z248" s="161">
        <f t="shared" si="74"/>
        <v>-18400000</v>
      </c>
      <c r="AA248" s="199">
        <f t="shared" si="75"/>
        <v>3.3935483870967742</v>
      </c>
      <c r="AB248" s="3"/>
      <c r="AC248" s="3"/>
      <c r="AD248" s="3"/>
      <c r="AE248" s="3"/>
    </row>
    <row r="249" spans="1:31" s="521" customFormat="1" ht="36.75" customHeight="1">
      <c r="A249" s="379">
        <v>7</v>
      </c>
      <c r="B249" s="380" t="s">
        <v>19</v>
      </c>
      <c r="C249" s="380" t="s">
        <v>30</v>
      </c>
      <c r="D249" s="289">
        <v>2</v>
      </c>
      <c r="E249" s="396" t="s">
        <v>22</v>
      </c>
      <c r="F249" s="396" t="s">
        <v>30</v>
      </c>
      <c r="G249" s="397">
        <v>5</v>
      </c>
      <c r="H249" s="397">
        <v>1</v>
      </c>
      <c r="I249" s="396" t="s">
        <v>22</v>
      </c>
      <c r="J249" s="302" t="s">
        <v>22</v>
      </c>
      <c r="K249" s="302" t="s">
        <v>19</v>
      </c>
      <c r="L249" s="302"/>
      <c r="M249" s="520"/>
      <c r="N249" s="410" t="s">
        <v>263</v>
      </c>
      <c r="O249" s="82"/>
      <c r="P249" s="82">
        <f>P250+P251</f>
        <v>6900000</v>
      </c>
      <c r="Q249" s="82"/>
      <c r="R249" s="82">
        <f t="shared" si="71"/>
        <v>6900000</v>
      </c>
      <c r="S249" s="82"/>
      <c r="T249" s="82"/>
      <c r="U249" s="82"/>
      <c r="V249" s="82"/>
      <c r="W249" s="82"/>
      <c r="X249" s="170"/>
      <c r="Y249" s="170"/>
      <c r="Z249" s="170">
        <f t="shared" ref="Z249:Z251" si="78">S249-W249</f>
        <v>0</v>
      </c>
      <c r="AA249" s="196">
        <f t="shared" ref="AA249:AA251" si="79">W249/R249*100%</f>
        <v>0</v>
      </c>
      <c r="AB249" s="159"/>
      <c r="AC249" s="159"/>
      <c r="AD249" s="159"/>
      <c r="AE249" s="159"/>
    </row>
    <row r="250" spans="1:31" ht="36.75" customHeight="1">
      <c r="A250" s="384">
        <v>7</v>
      </c>
      <c r="B250" s="385" t="s">
        <v>19</v>
      </c>
      <c r="C250" s="385" t="s">
        <v>30</v>
      </c>
      <c r="D250" s="307">
        <v>2</v>
      </c>
      <c r="E250" s="400" t="s">
        <v>22</v>
      </c>
      <c r="F250" s="400" t="s">
        <v>30</v>
      </c>
      <c r="G250" s="398">
        <v>5</v>
      </c>
      <c r="H250" s="398">
        <v>1</v>
      </c>
      <c r="I250" s="400" t="s">
        <v>22</v>
      </c>
      <c r="J250" s="306" t="s">
        <v>22</v>
      </c>
      <c r="K250" s="306" t="s">
        <v>19</v>
      </c>
      <c r="L250" s="306" t="s">
        <v>100</v>
      </c>
      <c r="M250" s="414">
        <v>7</v>
      </c>
      <c r="N250" s="407" t="s">
        <v>264</v>
      </c>
      <c r="O250" s="81"/>
      <c r="P250" s="81">
        <f>'LRA SP2D'!O251</f>
        <v>3900000</v>
      </c>
      <c r="Q250" s="81"/>
      <c r="R250" s="81">
        <f t="shared" si="71"/>
        <v>3900000</v>
      </c>
      <c r="S250" s="81"/>
      <c r="T250" s="81"/>
      <c r="U250" s="81"/>
      <c r="V250" s="81"/>
      <c r="W250" s="81"/>
      <c r="X250" s="161"/>
      <c r="Y250" s="161"/>
      <c r="Z250" s="161">
        <f t="shared" si="78"/>
        <v>0</v>
      </c>
      <c r="AA250" s="199">
        <f t="shared" si="79"/>
        <v>0</v>
      </c>
      <c r="AB250" s="3"/>
      <c r="AC250" s="3"/>
      <c r="AD250" s="3"/>
      <c r="AE250" s="3"/>
    </row>
    <row r="251" spans="1:31" ht="36.75" customHeight="1">
      <c r="A251" s="384">
        <v>7</v>
      </c>
      <c r="B251" s="385" t="s">
        <v>19</v>
      </c>
      <c r="C251" s="385" t="s">
        <v>30</v>
      </c>
      <c r="D251" s="307">
        <v>2</v>
      </c>
      <c r="E251" s="400" t="s">
        <v>22</v>
      </c>
      <c r="F251" s="400" t="s">
        <v>30</v>
      </c>
      <c r="G251" s="398">
        <v>5</v>
      </c>
      <c r="H251" s="398">
        <v>1</v>
      </c>
      <c r="I251" s="400" t="s">
        <v>22</v>
      </c>
      <c r="J251" s="306" t="s">
        <v>22</v>
      </c>
      <c r="K251" s="306" t="s">
        <v>19</v>
      </c>
      <c r="L251" s="306" t="s">
        <v>289</v>
      </c>
      <c r="M251" s="414">
        <v>2</v>
      </c>
      <c r="N251" s="407" t="s">
        <v>290</v>
      </c>
      <c r="O251" s="81"/>
      <c r="P251" s="81">
        <f>'LRA SP2D'!O252</f>
        <v>3000000</v>
      </c>
      <c r="Q251" s="81"/>
      <c r="R251" s="81">
        <f t="shared" si="71"/>
        <v>3000000</v>
      </c>
      <c r="S251" s="81"/>
      <c r="T251" s="81"/>
      <c r="U251" s="81"/>
      <c r="V251" s="81"/>
      <c r="W251" s="81"/>
      <c r="X251" s="161"/>
      <c r="Y251" s="161"/>
      <c r="Z251" s="161">
        <f t="shared" si="78"/>
        <v>0</v>
      </c>
      <c r="AA251" s="199">
        <f t="shared" si="79"/>
        <v>0</v>
      </c>
      <c r="AB251" s="3"/>
      <c r="AC251" s="3"/>
      <c r="AD251" s="3"/>
      <c r="AE251" s="3"/>
    </row>
    <row r="252" spans="1:31" ht="30" customHeight="1">
      <c r="A252" s="65">
        <v>7</v>
      </c>
      <c r="B252" s="113" t="s">
        <v>19</v>
      </c>
      <c r="C252" s="113" t="s">
        <v>30</v>
      </c>
      <c r="D252" s="12">
        <v>2</v>
      </c>
      <c r="E252" s="104" t="s">
        <v>22</v>
      </c>
      <c r="F252" s="104" t="s">
        <v>30</v>
      </c>
      <c r="G252" s="12">
        <v>5</v>
      </c>
      <c r="H252" s="12">
        <v>1</v>
      </c>
      <c r="I252" s="104" t="s">
        <v>22</v>
      </c>
      <c r="J252" s="104" t="s">
        <v>54</v>
      </c>
      <c r="K252" s="12"/>
      <c r="L252" s="16"/>
      <c r="M252" s="33"/>
      <c r="N252" s="129" t="s">
        <v>68</v>
      </c>
      <c r="O252" s="81"/>
      <c r="P252" s="82">
        <f>P253</f>
        <v>95689700</v>
      </c>
      <c r="Q252" s="82"/>
      <c r="R252" s="82">
        <f t="shared" si="71"/>
        <v>95689700</v>
      </c>
      <c r="S252" s="81"/>
      <c r="T252" s="81"/>
      <c r="U252" s="81"/>
      <c r="V252" s="81"/>
      <c r="W252" s="81">
        <f t="shared" si="72"/>
        <v>0</v>
      </c>
      <c r="X252" s="161">
        <f t="shared" si="73"/>
        <v>95689700</v>
      </c>
      <c r="Y252" s="161"/>
      <c r="Z252" s="161">
        <f t="shared" si="74"/>
        <v>0</v>
      </c>
      <c r="AA252" s="199">
        <f t="shared" si="75"/>
        <v>0</v>
      </c>
      <c r="AB252" s="3"/>
      <c r="AC252" s="3"/>
      <c r="AD252" s="3"/>
      <c r="AE252" s="3"/>
    </row>
    <row r="253" spans="1:31" ht="30" customHeight="1">
      <c r="A253" s="65">
        <v>7</v>
      </c>
      <c r="B253" s="113" t="s">
        <v>19</v>
      </c>
      <c r="C253" s="113" t="s">
        <v>30</v>
      </c>
      <c r="D253" s="12">
        <v>2</v>
      </c>
      <c r="E253" s="104" t="s">
        <v>22</v>
      </c>
      <c r="F253" s="104" t="s">
        <v>30</v>
      </c>
      <c r="G253" s="12">
        <v>5</v>
      </c>
      <c r="H253" s="12">
        <v>1</v>
      </c>
      <c r="I253" s="104" t="s">
        <v>22</v>
      </c>
      <c r="J253" s="104" t="s">
        <v>54</v>
      </c>
      <c r="K253" s="104" t="s">
        <v>19</v>
      </c>
      <c r="L253" s="16"/>
      <c r="M253" s="33"/>
      <c r="N253" s="129" t="s">
        <v>69</v>
      </c>
      <c r="O253" s="81"/>
      <c r="P253" s="82">
        <f>P254+P255</f>
        <v>95689700</v>
      </c>
      <c r="Q253" s="82"/>
      <c r="R253" s="82">
        <f t="shared" si="71"/>
        <v>95689700</v>
      </c>
      <c r="S253" s="81"/>
      <c r="T253" s="81"/>
      <c r="U253" s="81"/>
      <c r="V253" s="81"/>
      <c r="W253" s="81">
        <f t="shared" si="72"/>
        <v>0</v>
      </c>
      <c r="X253" s="161">
        <f t="shared" si="73"/>
        <v>95689700</v>
      </c>
      <c r="Y253" s="161"/>
      <c r="Z253" s="161">
        <f t="shared" si="74"/>
        <v>0</v>
      </c>
      <c r="AA253" s="199">
        <f t="shared" si="75"/>
        <v>0</v>
      </c>
      <c r="AB253" s="3"/>
      <c r="AC253" s="3"/>
      <c r="AD253" s="3"/>
      <c r="AE253" s="3"/>
    </row>
    <row r="254" spans="1:31" ht="30" customHeight="1">
      <c r="A254" s="67">
        <v>7</v>
      </c>
      <c r="B254" s="114" t="s">
        <v>19</v>
      </c>
      <c r="C254" s="114" t="s">
        <v>30</v>
      </c>
      <c r="D254" s="16">
        <v>2</v>
      </c>
      <c r="E254" s="105" t="s">
        <v>22</v>
      </c>
      <c r="F254" s="105" t="s">
        <v>30</v>
      </c>
      <c r="G254" s="16">
        <v>5</v>
      </c>
      <c r="H254" s="16">
        <v>1</v>
      </c>
      <c r="I254" s="105" t="s">
        <v>22</v>
      </c>
      <c r="J254" s="105" t="s">
        <v>54</v>
      </c>
      <c r="K254" s="105" t="s">
        <v>19</v>
      </c>
      <c r="L254" s="105" t="s">
        <v>27</v>
      </c>
      <c r="M254" s="119" t="s">
        <v>10</v>
      </c>
      <c r="N254" s="128" t="s">
        <v>70</v>
      </c>
      <c r="O254" s="81"/>
      <c r="P254" s="81">
        <f>'LRA SP2D'!O255</f>
        <v>62089700</v>
      </c>
      <c r="Q254" s="81"/>
      <c r="R254" s="81">
        <f t="shared" si="71"/>
        <v>62089700</v>
      </c>
      <c r="S254" s="81">
        <f>'LRA SP2D'!R249</f>
        <v>21000000</v>
      </c>
      <c r="T254" s="81"/>
      <c r="U254" s="81">
        <f>'LRA SP2D'!U249</f>
        <v>23250000</v>
      </c>
      <c r="V254" s="81"/>
      <c r="W254" s="81">
        <f t="shared" si="72"/>
        <v>23250000</v>
      </c>
      <c r="X254" s="161">
        <f>R254-W254</f>
        <v>38839700</v>
      </c>
      <c r="Y254" s="161"/>
      <c r="Z254" s="161">
        <f t="shared" si="74"/>
        <v>-2250000</v>
      </c>
      <c r="AA254" s="199">
        <f t="shared" si="75"/>
        <v>0.37445824347677636</v>
      </c>
      <c r="AB254" s="3"/>
      <c r="AC254" s="3"/>
      <c r="AD254" s="3"/>
      <c r="AE254" s="3"/>
    </row>
    <row r="255" spans="1:31" ht="30" customHeight="1">
      <c r="A255" s="67">
        <v>7</v>
      </c>
      <c r="B255" s="114" t="s">
        <v>19</v>
      </c>
      <c r="C255" s="114" t="s">
        <v>30</v>
      </c>
      <c r="D255" s="16">
        <v>2</v>
      </c>
      <c r="E255" s="105" t="s">
        <v>22</v>
      </c>
      <c r="F255" s="105" t="s">
        <v>30</v>
      </c>
      <c r="G255" s="16">
        <v>5</v>
      </c>
      <c r="H255" s="16">
        <v>1</v>
      </c>
      <c r="I255" s="105" t="s">
        <v>22</v>
      </c>
      <c r="J255" s="105" t="s">
        <v>54</v>
      </c>
      <c r="K255" s="105" t="s">
        <v>19</v>
      </c>
      <c r="L255" s="105" t="s">
        <v>27</v>
      </c>
      <c r="M255" s="33">
        <v>3</v>
      </c>
      <c r="N255" s="128" t="s">
        <v>117</v>
      </c>
      <c r="O255" s="82"/>
      <c r="P255" s="81">
        <f>'LRA SP2D'!O256</f>
        <v>33600000</v>
      </c>
      <c r="Q255" s="82"/>
      <c r="R255" s="82">
        <f t="shared" si="71"/>
        <v>33600000</v>
      </c>
      <c r="S255" s="81"/>
      <c r="T255" s="82"/>
      <c r="U255" s="81"/>
      <c r="V255" s="82"/>
      <c r="W255" s="82">
        <f t="shared" si="72"/>
        <v>0</v>
      </c>
      <c r="X255" s="170">
        <f t="shared" si="73"/>
        <v>33600000</v>
      </c>
      <c r="Y255" s="170"/>
      <c r="Z255" s="170">
        <f t="shared" si="74"/>
        <v>0</v>
      </c>
      <c r="AA255" s="196">
        <f t="shared" si="75"/>
        <v>0</v>
      </c>
      <c r="AB255" s="3"/>
      <c r="AC255" s="3"/>
      <c r="AD255" s="3"/>
      <c r="AE255" s="3"/>
    </row>
    <row r="256" spans="1:31" ht="60.75" customHeight="1">
      <c r="A256" s="65">
        <v>7</v>
      </c>
      <c r="B256" s="113" t="s">
        <v>19</v>
      </c>
      <c r="C256" s="113" t="s">
        <v>30</v>
      </c>
      <c r="D256" s="12">
        <v>2</v>
      </c>
      <c r="E256" s="104" t="s">
        <v>22</v>
      </c>
      <c r="F256" s="104" t="s">
        <v>30</v>
      </c>
      <c r="G256" s="12">
        <v>5</v>
      </c>
      <c r="H256" s="12">
        <v>1</v>
      </c>
      <c r="I256" s="104" t="s">
        <v>22</v>
      </c>
      <c r="J256" s="104" t="s">
        <v>32</v>
      </c>
      <c r="K256" s="12"/>
      <c r="L256" s="16"/>
      <c r="M256" s="33"/>
      <c r="N256" s="129" t="s">
        <v>118</v>
      </c>
      <c r="O256" s="81"/>
      <c r="P256" s="82">
        <f>P257</f>
        <v>11100000</v>
      </c>
      <c r="Q256" s="82"/>
      <c r="R256" s="82">
        <f t="shared" si="71"/>
        <v>11100000</v>
      </c>
      <c r="S256" s="82"/>
      <c r="T256" s="82"/>
      <c r="U256" s="82"/>
      <c r="V256" s="82"/>
      <c r="W256" s="82">
        <f t="shared" si="72"/>
        <v>0</v>
      </c>
      <c r="X256" s="170">
        <f t="shared" si="73"/>
        <v>11100000</v>
      </c>
      <c r="Y256" s="170"/>
      <c r="Z256" s="170">
        <f t="shared" si="74"/>
        <v>0</v>
      </c>
      <c r="AA256" s="196">
        <f t="shared" si="75"/>
        <v>0</v>
      </c>
      <c r="AB256" s="3"/>
      <c r="AC256" s="3"/>
      <c r="AD256" s="3"/>
      <c r="AE256" s="3"/>
    </row>
    <row r="257" spans="1:31" ht="54" customHeight="1">
      <c r="A257" s="65">
        <v>7</v>
      </c>
      <c r="B257" s="113" t="s">
        <v>19</v>
      </c>
      <c r="C257" s="113" t="s">
        <v>30</v>
      </c>
      <c r="D257" s="12">
        <v>2</v>
      </c>
      <c r="E257" s="104" t="s">
        <v>22</v>
      </c>
      <c r="F257" s="104" t="s">
        <v>30</v>
      </c>
      <c r="G257" s="12">
        <v>5</v>
      </c>
      <c r="H257" s="12">
        <v>1</v>
      </c>
      <c r="I257" s="104" t="s">
        <v>22</v>
      </c>
      <c r="J257" s="104" t="s">
        <v>32</v>
      </c>
      <c r="K257" s="104" t="s">
        <v>19</v>
      </c>
      <c r="L257" s="16"/>
      <c r="M257" s="33"/>
      <c r="N257" s="129" t="s">
        <v>119</v>
      </c>
      <c r="O257" s="81"/>
      <c r="P257" s="82">
        <f>P258</f>
        <v>11100000</v>
      </c>
      <c r="Q257" s="82"/>
      <c r="R257" s="82">
        <f t="shared" si="71"/>
        <v>11100000</v>
      </c>
      <c r="S257" s="82"/>
      <c r="T257" s="82"/>
      <c r="U257" s="82"/>
      <c r="V257" s="82"/>
      <c r="W257" s="82">
        <f t="shared" si="72"/>
        <v>0</v>
      </c>
      <c r="X257" s="170">
        <f t="shared" si="73"/>
        <v>11100000</v>
      </c>
      <c r="Y257" s="170"/>
      <c r="Z257" s="170">
        <f t="shared" si="74"/>
        <v>0</v>
      </c>
      <c r="AA257" s="196">
        <f t="shared" si="75"/>
        <v>0</v>
      </c>
      <c r="AB257" s="3"/>
      <c r="AC257" s="3"/>
      <c r="AD257" s="3"/>
      <c r="AE257" s="3"/>
    </row>
    <row r="258" spans="1:31" ht="30" customHeight="1">
      <c r="A258" s="67">
        <v>7</v>
      </c>
      <c r="B258" s="114" t="s">
        <v>19</v>
      </c>
      <c r="C258" s="114" t="s">
        <v>30</v>
      </c>
      <c r="D258" s="16">
        <v>2</v>
      </c>
      <c r="E258" s="105" t="s">
        <v>22</v>
      </c>
      <c r="F258" s="105" t="s">
        <v>30</v>
      </c>
      <c r="G258" s="16">
        <v>5</v>
      </c>
      <c r="H258" s="16">
        <v>1</v>
      </c>
      <c r="I258" s="105" t="s">
        <v>22</v>
      </c>
      <c r="J258" s="105" t="s">
        <v>32</v>
      </c>
      <c r="K258" s="105" t="s">
        <v>19</v>
      </c>
      <c r="L258" s="105" t="s">
        <v>27</v>
      </c>
      <c r="M258" s="33">
        <v>1</v>
      </c>
      <c r="N258" s="128" t="s">
        <v>139</v>
      </c>
      <c r="O258" s="81"/>
      <c r="P258" s="81">
        <f>'LRA SP2D'!O259</f>
        <v>11100000</v>
      </c>
      <c r="Q258" s="81"/>
      <c r="R258" s="81">
        <f t="shared" si="71"/>
        <v>11100000</v>
      </c>
      <c r="S258" s="81"/>
      <c r="T258" s="81"/>
      <c r="U258" s="81"/>
      <c r="V258" s="81"/>
      <c r="W258" s="81">
        <f t="shared" si="72"/>
        <v>0</v>
      </c>
      <c r="X258" s="161">
        <f t="shared" si="73"/>
        <v>11100000</v>
      </c>
      <c r="Y258" s="161"/>
      <c r="Z258" s="161">
        <f t="shared" si="74"/>
        <v>0</v>
      </c>
      <c r="AA258" s="199">
        <f t="shared" si="75"/>
        <v>0</v>
      </c>
      <c r="AB258" s="3"/>
      <c r="AC258" s="3"/>
      <c r="AD258" s="3"/>
      <c r="AE258" s="3"/>
    </row>
    <row r="259" spans="1:31" ht="16.3">
      <c r="A259" s="7"/>
      <c r="B259" s="8"/>
      <c r="C259" s="8"/>
      <c r="D259" s="88"/>
      <c r="E259" s="88"/>
      <c r="F259" s="88"/>
      <c r="G259" s="88"/>
      <c r="H259" s="88"/>
      <c r="I259" s="88"/>
      <c r="J259" s="88"/>
      <c r="K259" s="88"/>
      <c r="L259" s="90"/>
      <c r="M259" s="91"/>
      <c r="N259" s="129"/>
      <c r="O259" s="81"/>
      <c r="P259" s="81"/>
      <c r="Q259" s="81"/>
      <c r="R259" s="81"/>
      <c r="S259" s="34"/>
      <c r="T259" s="81"/>
      <c r="U259" s="81"/>
      <c r="V259" s="81"/>
      <c r="W259" s="81"/>
      <c r="X259" s="161"/>
      <c r="Y259" s="161"/>
      <c r="Z259" s="161"/>
      <c r="AA259" s="199"/>
      <c r="AB259" s="3"/>
      <c r="AC259" s="3"/>
      <c r="AD259" s="3"/>
      <c r="AE259" s="3"/>
    </row>
    <row r="260" spans="1:31" ht="57" customHeight="1">
      <c r="A260" s="58">
        <v>7</v>
      </c>
      <c r="B260" s="110" t="s">
        <v>19</v>
      </c>
      <c r="C260" s="110" t="s">
        <v>30</v>
      </c>
      <c r="D260" s="110" t="s">
        <v>64</v>
      </c>
      <c r="E260" s="110" t="s">
        <v>30</v>
      </c>
      <c r="F260" s="59"/>
      <c r="G260" s="59"/>
      <c r="H260" s="59"/>
      <c r="I260" s="59"/>
      <c r="J260" s="59"/>
      <c r="K260" s="59"/>
      <c r="L260" s="59"/>
      <c r="M260" s="77"/>
      <c r="N260" s="25" t="s">
        <v>140</v>
      </c>
      <c r="O260" s="163">
        <f>O262</f>
        <v>0</v>
      </c>
      <c r="P260" s="163">
        <f>P262</f>
        <v>2168741000</v>
      </c>
      <c r="Q260" s="163"/>
      <c r="R260" s="163">
        <f t="shared" si="71"/>
        <v>2168741000</v>
      </c>
      <c r="S260" s="163">
        <f>S262</f>
        <v>2060939000</v>
      </c>
      <c r="T260" s="163"/>
      <c r="U260" s="163">
        <f>U262</f>
        <v>2162939000</v>
      </c>
      <c r="V260" s="163"/>
      <c r="W260" s="163">
        <f t="shared" si="72"/>
        <v>2162939000</v>
      </c>
      <c r="X260" s="95">
        <f t="shared" si="73"/>
        <v>5802000</v>
      </c>
      <c r="Y260" s="95"/>
      <c r="Z260" s="95">
        <f t="shared" si="74"/>
        <v>-102000000</v>
      </c>
      <c r="AA260" s="197">
        <f t="shared" si="75"/>
        <v>0.99732471512273713</v>
      </c>
      <c r="AB260" s="3"/>
      <c r="AC260" s="3"/>
      <c r="AD260" s="3"/>
      <c r="AE260" s="3"/>
    </row>
    <row r="261" spans="1:31" ht="16.3">
      <c r="A261" s="60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79"/>
      <c r="N261" s="125"/>
      <c r="O261" s="81"/>
      <c r="P261" s="81"/>
      <c r="Q261" s="81"/>
      <c r="R261" s="81"/>
      <c r="S261" s="81"/>
      <c r="T261" s="81"/>
      <c r="U261" s="81"/>
      <c r="V261" s="81"/>
      <c r="W261" s="81"/>
      <c r="X261" s="161"/>
      <c r="Y261" s="161"/>
      <c r="Z261" s="161"/>
      <c r="AA261" s="199"/>
      <c r="AB261" s="3"/>
      <c r="AC261" s="3"/>
      <c r="AD261" s="3"/>
      <c r="AE261" s="3"/>
    </row>
    <row r="262" spans="1:31" ht="54" customHeight="1">
      <c r="A262" s="62">
        <v>7</v>
      </c>
      <c r="B262" s="111" t="s">
        <v>19</v>
      </c>
      <c r="C262" s="111" t="s">
        <v>30</v>
      </c>
      <c r="D262" s="14">
        <v>2</v>
      </c>
      <c r="E262" s="103" t="s">
        <v>30</v>
      </c>
      <c r="F262" s="103" t="s">
        <v>19</v>
      </c>
      <c r="G262" s="89"/>
      <c r="H262" s="89"/>
      <c r="I262" s="89"/>
      <c r="J262" s="89"/>
      <c r="K262" s="89"/>
      <c r="L262" s="89"/>
      <c r="M262" s="93"/>
      <c r="N262" s="321" t="s">
        <v>269</v>
      </c>
      <c r="O262" s="165"/>
      <c r="P262" s="165">
        <f>P263</f>
        <v>2168741000</v>
      </c>
      <c r="Q262" s="165"/>
      <c r="R262" s="165">
        <f t="shared" si="71"/>
        <v>2168741000</v>
      </c>
      <c r="S262" s="165">
        <f>S263</f>
        <v>2060939000</v>
      </c>
      <c r="T262" s="165"/>
      <c r="U262" s="165">
        <f>U263</f>
        <v>2162939000</v>
      </c>
      <c r="V262" s="165"/>
      <c r="W262" s="165">
        <f t="shared" si="72"/>
        <v>2162939000</v>
      </c>
      <c r="X262" s="168">
        <f t="shared" si="73"/>
        <v>5802000</v>
      </c>
      <c r="Y262" s="168"/>
      <c r="Z262" s="168">
        <f t="shared" si="74"/>
        <v>-102000000</v>
      </c>
      <c r="AA262" s="198">
        <f t="shared" si="75"/>
        <v>0.99732471512273713</v>
      </c>
      <c r="AB262" s="3"/>
      <c r="AC262" s="3"/>
      <c r="AD262" s="3"/>
      <c r="AE262" s="3"/>
    </row>
    <row r="263" spans="1:31" ht="36" customHeight="1">
      <c r="A263" s="65">
        <v>7</v>
      </c>
      <c r="B263" s="113" t="s">
        <v>19</v>
      </c>
      <c r="C263" s="113" t="s">
        <v>30</v>
      </c>
      <c r="D263" s="12">
        <v>2</v>
      </c>
      <c r="E263" s="104" t="s">
        <v>30</v>
      </c>
      <c r="F263" s="104" t="s">
        <v>19</v>
      </c>
      <c r="G263" s="12">
        <v>5</v>
      </c>
      <c r="H263" s="12">
        <v>1</v>
      </c>
      <c r="I263" s="104" t="s">
        <v>22</v>
      </c>
      <c r="J263" s="12"/>
      <c r="K263" s="12"/>
      <c r="L263" s="16"/>
      <c r="M263" s="33"/>
      <c r="N263" s="129" t="s">
        <v>123</v>
      </c>
      <c r="O263" s="82"/>
      <c r="P263" s="82">
        <f>P264+P269</f>
        <v>2168741000</v>
      </c>
      <c r="Q263" s="82"/>
      <c r="R263" s="82">
        <f t="shared" si="71"/>
        <v>2168741000</v>
      </c>
      <c r="S263" s="82">
        <f>S264+S269</f>
        <v>2060939000</v>
      </c>
      <c r="T263" s="82"/>
      <c r="U263" s="82">
        <f>U264+U269</f>
        <v>2162939000</v>
      </c>
      <c r="V263" s="82"/>
      <c r="W263" s="82">
        <f t="shared" si="72"/>
        <v>2162939000</v>
      </c>
      <c r="X263" s="170">
        <f t="shared" si="73"/>
        <v>5802000</v>
      </c>
      <c r="Y263" s="170"/>
      <c r="Z263" s="170">
        <f t="shared" si="74"/>
        <v>-102000000</v>
      </c>
      <c r="AA263" s="196">
        <f t="shared" si="75"/>
        <v>0.99732471512273713</v>
      </c>
      <c r="AB263" s="3"/>
      <c r="AC263" s="3"/>
      <c r="AD263" s="3"/>
      <c r="AE263" s="3"/>
    </row>
    <row r="264" spans="1:31" ht="36" customHeight="1">
      <c r="A264" s="65">
        <v>7</v>
      </c>
      <c r="B264" s="113" t="s">
        <v>19</v>
      </c>
      <c r="C264" s="113" t="s">
        <v>30</v>
      </c>
      <c r="D264" s="12">
        <v>2</v>
      </c>
      <c r="E264" s="104" t="s">
        <v>30</v>
      </c>
      <c r="F264" s="104" t="s">
        <v>19</v>
      </c>
      <c r="G264" s="12">
        <v>5</v>
      </c>
      <c r="H264" s="12">
        <v>1</v>
      </c>
      <c r="I264" s="104" t="s">
        <v>22</v>
      </c>
      <c r="J264" s="104" t="s">
        <v>19</v>
      </c>
      <c r="K264" s="12"/>
      <c r="L264" s="16"/>
      <c r="M264" s="33"/>
      <c r="N264" s="129" t="s">
        <v>65</v>
      </c>
      <c r="O264" s="82"/>
      <c r="P264" s="82">
        <f>P265</f>
        <v>26741000</v>
      </c>
      <c r="Q264" s="82"/>
      <c r="R264" s="82">
        <f t="shared" si="71"/>
        <v>26741000</v>
      </c>
      <c r="S264" s="82">
        <f>S265</f>
        <v>21239000</v>
      </c>
      <c r="T264" s="82"/>
      <c r="U264" s="82">
        <f>U265</f>
        <v>21239000</v>
      </c>
      <c r="V264" s="82"/>
      <c r="W264" s="82">
        <f t="shared" si="72"/>
        <v>21239000</v>
      </c>
      <c r="X264" s="170">
        <f t="shared" si="73"/>
        <v>5502000</v>
      </c>
      <c r="Y264" s="170"/>
      <c r="Z264" s="170">
        <f t="shared" si="74"/>
        <v>0</v>
      </c>
      <c r="AA264" s="196">
        <f t="shared" si="75"/>
        <v>0.79424853221644665</v>
      </c>
      <c r="AB264" s="3"/>
      <c r="AC264" s="3"/>
      <c r="AD264" s="3"/>
      <c r="AE264" s="3"/>
    </row>
    <row r="265" spans="1:31" ht="36" customHeight="1">
      <c r="A265" s="65">
        <v>7</v>
      </c>
      <c r="B265" s="113" t="s">
        <v>19</v>
      </c>
      <c r="C265" s="113" t="s">
        <v>30</v>
      </c>
      <c r="D265" s="12">
        <v>2</v>
      </c>
      <c r="E265" s="104" t="s">
        <v>30</v>
      </c>
      <c r="F265" s="104" t="s">
        <v>19</v>
      </c>
      <c r="G265" s="12">
        <v>5</v>
      </c>
      <c r="H265" s="12">
        <v>1</v>
      </c>
      <c r="I265" s="104" t="s">
        <v>22</v>
      </c>
      <c r="J265" s="104" t="s">
        <v>19</v>
      </c>
      <c r="K265" s="104" t="s">
        <v>19</v>
      </c>
      <c r="L265" s="16"/>
      <c r="M265" s="33"/>
      <c r="N265" s="129" t="s">
        <v>51</v>
      </c>
      <c r="O265" s="82"/>
      <c r="P265" s="82">
        <f>SUM(P266:P268)</f>
        <v>26741000</v>
      </c>
      <c r="Q265" s="82"/>
      <c r="R265" s="82">
        <f t="shared" si="71"/>
        <v>26741000</v>
      </c>
      <c r="S265" s="82">
        <f>S266+S267+S268</f>
        <v>21239000</v>
      </c>
      <c r="T265" s="82"/>
      <c r="U265" s="82">
        <f>U266+U267+U268</f>
        <v>21239000</v>
      </c>
      <c r="V265" s="82"/>
      <c r="W265" s="82">
        <f t="shared" si="72"/>
        <v>21239000</v>
      </c>
      <c r="X265" s="170">
        <f t="shared" si="73"/>
        <v>5502000</v>
      </c>
      <c r="Y265" s="170"/>
      <c r="Z265" s="170">
        <f t="shared" si="74"/>
        <v>0</v>
      </c>
      <c r="AA265" s="196">
        <f t="shared" si="75"/>
        <v>0.79424853221644665</v>
      </c>
      <c r="AB265" s="3"/>
      <c r="AC265" s="3"/>
      <c r="AD265" s="3"/>
      <c r="AE265" s="3"/>
    </row>
    <row r="266" spans="1:31" ht="36" customHeight="1">
      <c r="A266" s="67">
        <v>7</v>
      </c>
      <c r="B266" s="114" t="s">
        <v>19</v>
      </c>
      <c r="C266" s="114" t="s">
        <v>30</v>
      </c>
      <c r="D266" s="16">
        <v>2</v>
      </c>
      <c r="E266" s="105" t="s">
        <v>30</v>
      </c>
      <c r="F266" s="105" t="s">
        <v>19</v>
      </c>
      <c r="G266" s="16">
        <v>5</v>
      </c>
      <c r="H266" s="16">
        <v>1</v>
      </c>
      <c r="I266" s="105" t="s">
        <v>22</v>
      </c>
      <c r="J266" s="105" t="s">
        <v>19</v>
      </c>
      <c r="K266" s="105" t="s">
        <v>19</v>
      </c>
      <c r="L266" s="105" t="s">
        <v>56</v>
      </c>
      <c r="M266" s="119" t="s">
        <v>11</v>
      </c>
      <c r="N266" s="34" t="s">
        <v>132</v>
      </c>
      <c r="O266" s="81"/>
      <c r="P266" s="81">
        <f>'LRA SP2D'!O267</f>
        <v>41000</v>
      </c>
      <c r="Q266" s="81"/>
      <c r="R266" s="81">
        <f t="shared" si="71"/>
        <v>41000</v>
      </c>
      <c r="S266" s="81">
        <f>'LRA SP2D'!R267</f>
        <v>41000</v>
      </c>
      <c r="T266" s="81"/>
      <c r="U266" s="81">
        <f>'LRA SP2D'!U267</f>
        <v>41000</v>
      </c>
      <c r="V266" s="81"/>
      <c r="W266" s="81">
        <f t="shared" si="72"/>
        <v>41000</v>
      </c>
      <c r="X266" s="161">
        <f t="shared" si="73"/>
        <v>0</v>
      </c>
      <c r="Y266" s="161"/>
      <c r="Z266" s="161">
        <f t="shared" si="74"/>
        <v>0</v>
      </c>
      <c r="AA266" s="199">
        <f t="shared" si="75"/>
        <v>1</v>
      </c>
      <c r="AB266" s="3"/>
      <c r="AC266" s="3"/>
      <c r="AD266" s="3"/>
      <c r="AE266" s="3"/>
    </row>
    <row r="267" spans="1:31" ht="53.25" customHeight="1">
      <c r="A267" s="67">
        <v>7</v>
      </c>
      <c r="B267" s="114" t="s">
        <v>19</v>
      </c>
      <c r="C267" s="114" t="s">
        <v>30</v>
      </c>
      <c r="D267" s="16">
        <v>2</v>
      </c>
      <c r="E267" s="105" t="s">
        <v>30</v>
      </c>
      <c r="F267" s="105" t="s">
        <v>19</v>
      </c>
      <c r="G267" s="16">
        <v>5</v>
      </c>
      <c r="H267" s="16">
        <v>1</v>
      </c>
      <c r="I267" s="105" t="s">
        <v>22</v>
      </c>
      <c r="J267" s="105" t="s">
        <v>19</v>
      </c>
      <c r="K267" s="105" t="s">
        <v>19</v>
      </c>
      <c r="L267" s="105" t="s">
        <v>56</v>
      </c>
      <c r="M267" s="33">
        <v>6</v>
      </c>
      <c r="N267" s="39" t="s">
        <v>134</v>
      </c>
      <c r="O267" s="81"/>
      <c r="P267" s="81">
        <f>'LRA SP2D'!O268</f>
        <v>35000</v>
      </c>
      <c r="Q267" s="81"/>
      <c r="R267" s="81">
        <f t="shared" si="71"/>
        <v>35000</v>
      </c>
      <c r="S267" s="81">
        <f>'LRA SP2D'!R268</f>
        <v>25000</v>
      </c>
      <c r="T267" s="81"/>
      <c r="U267" s="81">
        <f>'LRA SP2D'!U268</f>
        <v>25000</v>
      </c>
      <c r="V267" s="81"/>
      <c r="W267" s="81">
        <f t="shared" si="72"/>
        <v>25000</v>
      </c>
      <c r="X267" s="161">
        <f t="shared" si="73"/>
        <v>10000</v>
      </c>
      <c r="Y267" s="161">
        <f t="shared" ref="Y267:Y285" si="80">S267-W267</f>
        <v>0</v>
      </c>
      <c r="Z267" s="161">
        <f t="shared" si="74"/>
        <v>0</v>
      </c>
      <c r="AA267" s="199">
        <f t="shared" si="75"/>
        <v>0.7142857142857143</v>
      </c>
      <c r="AB267" s="3"/>
      <c r="AC267" s="3"/>
      <c r="AD267" s="3"/>
      <c r="AE267" s="3"/>
    </row>
    <row r="268" spans="1:31" ht="36" customHeight="1">
      <c r="A268" s="67">
        <v>7</v>
      </c>
      <c r="B268" s="114" t="s">
        <v>19</v>
      </c>
      <c r="C268" s="114" t="s">
        <v>30</v>
      </c>
      <c r="D268" s="16">
        <v>2</v>
      </c>
      <c r="E268" s="105" t="s">
        <v>30</v>
      </c>
      <c r="F268" s="105" t="s">
        <v>19</v>
      </c>
      <c r="G268" s="16">
        <v>5</v>
      </c>
      <c r="H268" s="16">
        <v>1</v>
      </c>
      <c r="I268" s="105" t="s">
        <v>22</v>
      </c>
      <c r="J268" s="105" t="s">
        <v>19</v>
      </c>
      <c r="K268" s="105" t="s">
        <v>19</v>
      </c>
      <c r="L268" s="105" t="s">
        <v>66</v>
      </c>
      <c r="M268" s="33">
        <v>2</v>
      </c>
      <c r="N268" s="34" t="s">
        <v>126</v>
      </c>
      <c r="O268" s="81"/>
      <c r="P268" s="81">
        <f>'LRA SP2D'!O269</f>
        <v>26665000</v>
      </c>
      <c r="Q268" s="81"/>
      <c r="R268" s="81">
        <f t="shared" si="71"/>
        <v>26665000</v>
      </c>
      <c r="S268" s="81">
        <f>U268</f>
        <v>21173000</v>
      </c>
      <c r="T268" s="81"/>
      <c r="U268" s="81">
        <f>'LRA SP2D'!U269</f>
        <v>21173000</v>
      </c>
      <c r="V268" s="81"/>
      <c r="W268" s="81">
        <f t="shared" si="72"/>
        <v>21173000</v>
      </c>
      <c r="X268" s="161">
        <f t="shared" si="73"/>
        <v>5492000</v>
      </c>
      <c r="Y268" s="161">
        <f t="shared" si="80"/>
        <v>0</v>
      </c>
      <c r="Z268" s="161">
        <f t="shared" si="74"/>
        <v>0</v>
      </c>
      <c r="AA268" s="199">
        <f t="shared" si="75"/>
        <v>0.7940371273204575</v>
      </c>
      <c r="AB268" s="3"/>
      <c r="AC268" s="3"/>
      <c r="AD268" s="3"/>
      <c r="AE268" s="3"/>
    </row>
    <row r="269" spans="1:31" ht="36" customHeight="1">
      <c r="A269" s="65">
        <v>7</v>
      </c>
      <c r="B269" s="113" t="s">
        <v>19</v>
      </c>
      <c r="C269" s="113" t="s">
        <v>30</v>
      </c>
      <c r="D269" s="12">
        <v>2</v>
      </c>
      <c r="E269" s="104" t="s">
        <v>30</v>
      </c>
      <c r="F269" s="104" t="s">
        <v>19</v>
      </c>
      <c r="G269" s="12">
        <v>5</v>
      </c>
      <c r="H269" s="12">
        <v>1</v>
      </c>
      <c r="I269" s="104" t="s">
        <v>22</v>
      </c>
      <c r="J269" s="104" t="s">
        <v>22</v>
      </c>
      <c r="K269" s="12"/>
      <c r="L269" s="16"/>
      <c r="M269" s="33"/>
      <c r="N269" s="129" t="s">
        <v>75</v>
      </c>
      <c r="O269" s="81"/>
      <c r="P269" s="82">
        <f>P270</f>
        <v>2142000000</v>
      </c>
      <c r="Q269" s="82"/>
      <c r="R269" s="82">
        <f t="shared" si="71"/>
        <v>2142000000</v>
      </c>
      <c r="S269" s="82">
        <f>S270</f>
        <v>2039700000</v>
      </c>
      <c r="T269" s="82"/>
      <c r="U269" s="82">
        <f>U270</f>
        <v>2141700000</v>
      </c>
      <c r="V269" s="82"/>
      <c r="W269" s="82">
        <f t="shared" si="72"/>
        <v>2141700000</v>
      </c>
      <c r="X269" s="170">
        <f t="shared" si="73"/>
        <v>300000</v>
      </c>
      <c r="Y269" s="170">
        <f t="shared" si="80"/>
        <v>-102000000</v>
      </c>
      <c r="Z269" s="170">
        <f t="shared" si="74"/>
        <v>-102000000</v>
      </c>
      <c r="AA269" s="196">
        <f t="shared" si="75"/>
        <v>0.99985994397759104</v>
      </c>
      <c r="AB269" s="3"/>
      <c r="AC269" s="3"/>
      <c r="AD269" s="3"/>
      <c r="AE269" s="3"/>
    </row>
    <row r="270" spans="1:31" ht="36" customHeight="1">
      <c r="A270" s="65">
        <v>7</v>
      </c>
      <c r="B270" s="113" t="s">
        <v>19</v>
      </c>
      <c r="C270" s="113" t="s">
        <v>30</v>
      </c>
      <c r="D270" s="12">
        <v>2</v>
      </c>
      <c r="E270" s="104" t="s">
        <v>30</v>
      </c>
      <c r="F270" s="104" t="s">
        <v>19</v>
      </c>
      <c r="G270" s="12">
        <v>5</v>
      </c>
      <c r="H270" s="12">
        <v>1</v>
      </c>
      <c r="I270" s="104" t="s">
        <v>22</v>
      </c>
      <c r="J270" s="104" t="s">
        <v>22</v>
      </c>
      <c r="K270" s="104" t="s">
        <v>19</v>
      </c>
      <c r="L270" s="16"/>
      <c r="M270" s="33"/>
      <c r="N270" s="129" t="s">
        <v>114</v>
      </c>
      <c r="O270" s="81"/>
      <c r="P270" s="82">
        <f>P271</f>
        <v>2142000000</v>
      </c>
      <c r="Q270" s="82"/>
      <c r="R270" s="82">
        <f t="shared" si="71"/>
        <v>2142000000</v>
      </c>
      <c r="S270" s="82">
        <f>S271</f>
        <v>2039700000</v>
      </c>
      <c r="T270" s="82"/>
      <c r="U270" s="82">
        <f>U271</f>
        <v>2141700000</v>
      </c>
      <c r="V270" s="82"/>
      <c r="W270" s="82">
        <f t="shared" si="72"/>
        <v>2141700000</v>
      </c>
      <c r="X270" s="170">
        <f t="shared" si="73"/>
        <v>300000</v>
      </c>
      <c r="Y270" s="170"/>
      <c r="Z270" s="170">
        <f t="shared" si="74"/>
        <v>-102000000</v>
      </c>
      <c r="AA270" s="196">
        <f t="shared" si="75"/>
        <v>0.99985994397759104</v>
      </c>
      <c r="AB270" s="3"/>
      <c r="AC270" s="3"/>
      <c r="AD270" s="3"/>
      <c r="AE270" s="3"/>
    </row>
    <row r="271" spans="1:31" ht="36" customHeight="1">
      <c r="A271" s="67">
        <v>7</v>
      </c>
      <c r="B271" s="114" t="s">
        <v>19</v>
      </c>
      <c r="C271" s="114" t="s">
        <v>30</v>
      </c>
      <c r="D271" s="16">
        <v>2</v>
      </c>
      <c r="E271" s="105" t="s">
        <v>30</v>
      </c>
      <c r="F271" s="105" t="s">
        <v>19</v>
      </c>
      <c r="G271" s="16">
        <v>5</v>
      </c>
      <c r="H271" s="16">
        <v>1</v>
      </c>
      <c r="I271" s="105" t="s">
        <v>22</v>
      </c>
      <c r="J271" s="105" t="s">
        <v>22</v>
      </c>
      <c r="K271" s="105" t="s">
        <v>19</v>
      </c>
      <c r="L271" s="105" t="s">
        <v>27</v>
      </c>
      <c r="M271" s="33">
        <v>6</v>
      </c>
      <c r="N271" s="128" t="s">
        <v>208</v>
      </c>
      <c r="O271" s="81"/>
      <c r="P271" s="81">
        <f>'LRA SP2D'!O272</f>
        <v>2142000000</v>
      </c>
      <c r="Q271" s="81"/>
      <c r="R271" s="81">
        <f t="shared" si="71"/>
        <v>2142000000</v>
      </c>
      <c r="S271" s="81">
        <f>'LRA SP2D'!R272</f>
        <v>2039700000</v>
      </c>
      <c r="T271" s="81"/>
      <c r="U271" s="81">
        <f>'LRA SP2D'!U272</f>
        <v>2141700000</v>
      </c>
      <c r="V271" s="81"/>
      <c r="W271" s="81">
        <f t="shared" si="72"/>
        <v>2141700000</v>
      </c>
      <c r="X271" s="161">
        <f t="shared" si="73"/>
        <v>300000</v>
      </c>
      <c r="Y271" s="161"/>
      <c r="Z271" s="161">
        <f t="shared" si="74"/>
        <v>-102000000</v>
      </c>
      <c r="AA271" s="199">
        <f t="shared" si="75"/>
        <v>0.99985994397759104</v>
      </c>
      <c r="AB271" s="3"/>
      <c r="AC271" s="3"/>
      <c r="AD271" s="3"/>
      <c r="AE271" s="3"/>
    </row>
    <row r="272" spans="1:31" ht="16.3">
      <c r="A272" s="7"/>
      <c r="B272" s="8"/>
      <c r="C272" s="8"/>
      <c r="D272" s="88"/>
      <c r="E272" s="88"/>
      <c r="F272" s="88"/>
      <c r="G272" s="88"/>
      <c r="H272" s="88"/>
      <c r="I272" s="88"/>
      <c r="J272" s="88"/>
      <c r="K272" s="88"/>
      <c r="L272" s="90"/>
      <c r="M272" s="91"/>
      <c r="N272" s="129"/>
      <c r="O272" s="81"/>
      <c r="P272" s="81"/>
      <c r="Q272" s="81"/>
      <c r="R272" s="81"/>
      <c r="S272" s="34"/>
      <c r="T272" s="81"/>
      <c r="U272" s="81"/>
      <c r="V272" s="81"/>
      <c r="W272" s="81"/>
      <c r="X272" s="161"/>
      <c r="Y272" s="161"/>
      <c r="Z272" s="161"/>
      <c r="AA272" s="199"/>
      <c r="AB272" s="3"/>
      <c r="AC272" s="3"/>
      <c r="AD272" s="3"/>
      <c r="AE272" s="3"/>
    </row>
    <row r="273" spans="1:31" ht="54.75" customHeight="1">
      <c r="A273" s="56">
        <v>7</v>
      </c>
      <c r="B273" s="109" t="s">
        <v>19</v>
      </c>
      <c r="C273" s="109" t="s">
        <v>54</v>
      </c>
      <c r="D273" s="57"/>
      <c r="E273" s="57"/>
      <c r="F273" s="57"/>
      <c r="G273" s="57"/>
      <c r="H273" s="57"/>
      <c r="I273" s="57"/>
      <c r="J273" s="57"/>
      <c r="K273" s="57"/>
      <c r="L273" s="57"/>
      <c r="M273" s="75"/>
      <c r="N273" s="127" t="s">
        <v>141</v>
      </c>
      <c r="O273" s="172">
        <f>O275</f>
        <v>0</v>
      </c>
      <c r="P273" s="172">
        <f>P275</f>
        <v>26675000</v>
      </c>
      <c r="Q273" s="172">
        <f>Q275</f>
        <v>0</v>
      </c>
      <c r="R273" s="172">
        <f>R275</f>
        <v>26675000</v>
      </c>
      <c r="S273" s="172">
        <f>S275</f>
        <v>22987450</v>
      </c>
      <c r="T273" s="172">
        <f t="shared" ref="T273:V273" si="81">T275</f>
        <v>0</v>
      </c>
      <c r="U273" s="172">
        <f t="shared" si="81"/>
        <v>22987450</v>
      </c>
      <c r="V273" s="172">
        <f t="shared" si="81"/>
        <v>0</v>
      </c>
      <c r="W273" s="172">
        <f t="shared" si="72"/>
        <v>22987450</v>
      </c>
      <c r="X273" s="173">
        <f t="shared" si="73"/>
        <v>3687550</v>
      </c>
      <c r="Y273" s="173"/>
      <c r="Z273" s="173">
        <f t="shared" si="74"/>
        <v>0</v>
      </c>
      <c r="AA273" s="200">
        <f t="shared" si="75"/>
        <v>0.86176007497656981</v>
      </c>
      <c r="AB273" s="3"/>
      <c r="AC273" s="3"/>
      <c r="AD273" s="3"/>
      <c r="AE273" s="3"/>
    </row>
    <row r="274" spans="1:31" ht="16.3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73"/>
      <c r="N274" s="126"/>
      <c r="O274" s="82"/>
      <c r="P274" s="82"/>
      <c r="Q274" s="82"/>
      <c r="R274" s="82"/>
      <c r="S274" s="53"/>
      <c r="T274" s="82"/>
      <c r="U274" s="82"/>
      <c r="V274" s="82"/>
      <c r="W274" s="82"/>
      <c r="X274" s="170"/>
      <c r="Y274" s="170"/>
      <c r="Z274" s="170"/>
      <c r="AA274" s="196"/>
      <c r="AB274" s="3"/>
      <c r="AC274" s="3"/>
      <c r="AD274" s="3"/>
      <c r="AE274" s="3"/>
    </row>
    <row r="275" spans="1:31" ht="79.5" customHeight="1">
      <c r="A275" s="58">
        <v>7</v>
      </c>
      <c r="B275" s="110" t="s">
        <v>19</v>
      </c>
      <c r="C275" s="110" t="s">
        <v>54</v>
      </c>
      <c r="D275" s="110" t="s">
        <v>64</v>
      </c>
      <c r="E275" s="110" t="s">
        <v>19</v>
      </c>
      <c r="F275" s="59"/>
      <c r="G275" s="59"/>
      <c r="H275" s="59"/>
      <c r="I275" s="59"/>
      <c r="J275" s="59"/>
      <c r="K275" s="59"/>
      <c r="L275" s="59"/>
      <c r="M275" s="77"/>
      <c r="N275" s="25" t="s">
        <v>142</v>
      </c>
      <c r="O275" s="163"/>
      <c r="P275" s="163">
        <f>P277</f>
        <v>26675000</v>
      </c>
      <c r="Q275" s="163"/>
      <c r="R275" s="163">
        <f t="shared" si="71"/>
        <v>26675000</v>
      </c>
      <c r="S275" s="163">
        <f>S277</f>
        <v>22987450</v>
      </c>
      <c r="T275" s="163">
        <f t="shared" ref="T275:V275" si="82">T277</f>
        <v>0</v>
      </c>
      <c r="U275" s="163">
        <f t="shared" si="82"/>
        <v>22987450</v>
      </c>
      <c r="V275" s="163">
        <f t="shared" si="82"/>
        <v>0</v>
      </c>
      <c r="W275" s="163">
        <f t="shared" si="72"/>
        <v>22987450</v>
      </c>
      <c r="X275" s="95">
        <f t="shared" si="73"/>
        <v>3687550</v>
      </c>
      <c r="Y275" s="95"/>
      <c r="Z275" s="95">
        <f t="shared" si="74"/>
        <v>0</v>
      </c>
      <c r="AA275" s="197">
        <f t="shared" si="75"/>
        <v>0.86176007497656981</v>
      </c>
      <c r="AB275" s="3"/>
      <c r="AC275" s="3"/>
      <c r="AD275" s="3"/>
      <c r="AE275" s="3"/>
    </row>
    <row r="276" spans="1:31" ht="16.3">
      <c r="A276" s="60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79"/>
      <c r="N276" s="125"/>
      <c r="O276" s="82"/>
      <c r="P276" s="82"/>
      <c r="Q276" s="82"/>
      <c r="R276" s="82"/>
      <c r="S276" s="82"/>
      <c r="T276" s="82"/>
      <c r="U276" s="82"/>
      <c r="V276" s="82"/>
      <c r="W276" s="82"/>
      <c r="X276" s="170"/>
      <c r="Y276" s="170"/>
      <c r="Z276" s="170"/>
      <c r="AA276" s="196"/>
      <c r="AB276" s="3"/>
      <c r="AC276" s="3"/>
      <c r="AD276" s="3"/>
      <c r="AE276" s="3"/>
    </row>
    <row r="277" spans="1:31" ht="77.25" customHeight="1">
      <c r="A277" s="62">
        <v>7</v>
      </c>
      <c r="B277" s="111" t="s">
        <v>19</v>
      </c>
      <c r="C277" s="111" t="s">
        <v>54</v>
      </c>
      <c r="D277" s="14">
        <v>2</v>
      </c>
      <c r="E277" s="103" t="s">
        <v>22</v>
      </c>
      <c r="F277" s="103" t="s">
        <v>19</v>
      </c>
      <c r="G277" s="89"/>
      <c r="H277" s="89"/>
      <c r="I277" s="89"/>
      <c r="J277" s="89"/>
      <c r="K277" s="89"/>
      <c r="L277" s="89"/>
      <c r="M277" s="93"/>
      <c r="N277" s="41" t="s">
        <v>143</v>
      </c>
      <c r="O277" s="165"/>
      <c r="P277" s="165">
        <f>P278</f>
        <v>26675000</v>
      </c>
      <c r="Q277" s="165"/>
      <c r="R277" s="165">
        <f>O277+P277+Q277</f>
        <v>26675000</v>
      </c>
      <c r="S277" s="165">
        <f>S278</f>
        <v>22987450</v>
      </c>
      <c r="T277" s="165">
        <f>T278</f>
        <v>0</v>
      </c>
      <c r="U277" s="165">
        <f t="shared" ref="U277:V277" si="83">U278</f>
        <v>22987450</v>
      </c>
      <c r="V277" s="165">
        <f t="shared" si="83"/>
        <v>0</v>
      </c>
      <c r="W277" s="165">
        <f t="shared" si="72"/>
        <v>22987450</v>
      </c>
      <c r="X277" s="168">
        <f t="shared" si="73"/>
        <v>3687550</v>
      </c>
      <c r="Y277" s="168"/>
      <c r="Z277" s="168">
        <f t="shared" si="74"/>
        <v>0</v>
      </c>
      <c r="AA277" s="198">
        <f t="shared" si="75"/>
        <v>0.86176007497656981</v>
      </c>
      <c r="AB277" s="3"/>
      <c r="AC277" s="3"/>
      <c r="AD277" s="3"/>
      <c r="AE277" s="3"/>
    </row>
    <row r="278" spans="1:31" ht="40.5" customHeight="1">
      <c r="A278" s="65">
        <v>7</v>
      </c>
      <c r="B278" s="113" t="s">
        <v>19</v>
      </c>
      <c r="C278" s="113" t="s">
        <v>54</v>
      </c>
      <c r="D278" s="12">
        <v>2</v>
      </c>
      <c r="E278" s="104" t="s">
        <v>22</v>
      </c>
      <c r="F278" s="104" t="s">
        <v>19</v>
      </c>
      <c r="G278" s="12">
        <v>5</v>
      </c>
      <c r="H278" s="12">
        <v>1</v>
      </c>
      <c r="I278" s="104" t="s">
        <v>22</v>
      </c>
      <c r="J278" s="12"/>
      <c r="K278" s="12"/>
      <c r="L278" s="16"/>
      <c r="M278" s="33"/>
      <c r="N278" s="129" t="s">
        <v>123</v>
      </c>
      <c r="O278" s="82"/>
      <c r="P278" s="82">
        <f>P279+P286</f>
        <v>26675000</v>
      </c>
      <c r="Q278" s="82"/>
      <c r="R278" s="82">
        <f t="shared" si="71"/>
        <v>26675000</v>
      </c>
      <c r="S278" s="82">
        <f>S279+S286</f>
        <v>22987450</v>
      </c>
      <c r="T278" s="82">
        <f t="shared" ref="T278:V278" si="84">T279+T286</f>
        <v>0</v>
      </c>
      <c r="U278" s="82">
        <f>U279+U286</f>
        <v>22987450</v>
      </c>
      <c r="V278" s="82">
        <f t="shared" si="84"/>
        <v>0</v>
      </c>
      <c r="W278" s="82">
        <f t="shared" si="72"/>
        <v>22987450</v>
      </c>
      <c r="X278" s="170">
        <f t="shared" si="73"/>
        <v>3687550</v>
      </c>
      <c r="Y278" s="170"/>
      <c r="Z278" s="170">
        <f t="shared" si="74"/>
        <v>0</v>
      </c>
      <c r="AA278" s="196">
        <f t="shared" si="75"/>
        <v>0.86176007497656981</v>
      </c>
      <c r="AB278" s="3"/>
      <c r="AC278" s="3"/>
      <c r="AD278" s="3"/>
      <c r="AE278" s="3"/>
    </row>
    <row r="279" spans="1:31" ht="40.5" customHeight="1">
      <c r="A279" s="65">
        <v>7</v>
      </c>
      <c r="B279" s="113" t="s">
        <v>19</v>
      </c>
      <c r="C279" s="113" t="s">
        <v>54</v>
      </c>
      <c r="D279" s="12">
        <v>2</v>
      </c>
      <c r="E279" s="104" t="s">
        <v>22</v>
      </c>
      <c r="F279" s="104" t="s">
        <v>19</v>
      </c>
      <c r="G279" s="12">
        <v>5</v>
      </c>
      <c r="H279" s="12">
        <v>1</v>
      </c>
      <c r="I279" s="104" t="s">
        <v>22</v>
      </c>
      <c r="J279" s="104" t="s">
        <v>19</v>
      </c>
      <c r="K279" s="12"/>
      <c r="L279" s="16"/>
      <c r="M279" s="33"/>
      <c r="N279" s="129" t="s">
        <v>65</v>
      </c>
      <c r="O279" s="82"/>
      <c r="P279" s="82">
        <f>P280</f>
        <v>13625000</v>
      </c>
      <c r="Q279" s="82"/>
      <c r="R279" s="82">
        <f t="shared" si="71"/>
        <v>13625000</v>
      </c>
      <c r="S279" s="82">
        <f>S280</f>
        <v>10887450</v>
      </c>
      <c r="T279" s="82">
        <f t="shared" ref="T279:V279" si="85">T280</f>
        <v>0</v>
      </c>
      <c r="U279" s="82">
        <f>U280</f>
        <v>10887450</v>
      </c>
      <c r="V279" s="82">
        <f t="shared" si="85"/>
        <v>0</v>
      </c>
      <c r="W279" s="82">
        <f t="shared" si="72"/>
        <v>10887450</v>
      </c>
      <c r="X279" s="170">
        <f t="shared" si="73"/>
        <v>2737550</v>
      </c>
      <c r="Y279" s="170"/>
      <c r="Z279" s="170">
        <f t="shared" si="74"/>
        <v>0</v>
      </c>
      <c r="AA279" s="196">
        <f t="shared" si="75"/>
        <v>0.79907889908256879</v>
      </c>
      <c r="AB279" s="3"/>
      <c r="AC279" s="3"/>
      <c r="AD279" s="3"/>
      <c r="AE279" s="3"/>
    </row>
    <row r="280" spans="1:31" ht="40.5" customHeight="1">
      <c r="A280" s="65">
        <v>7</v>
      </c>
      <c r="B280" s="113" t="s">
        <v>19</v>
      </c>
      <c r="C280" s="113" t="s">
        <v>54</v>
      </c>
      <c r="D280" s="12">
        <v>2</v>
      </c>
      <c r="E280" s="104" t="s">
        <v>22</v>
      </c>
      <c r="F280" s="104" t="s">
        <v>19</v>
      </c>
      <c r="G280" s="12">
        <v>5</v>
      </c>
      <c r="H280" s="12">
        <v>1</v>
      </c>
      <c r="I280" s="104" t="s">
        <v>22</v>
      </c>
      <c r="J280" s="104" t="s">
        <v>19</v>
      </c>
      <c r="K280" s="104" t="s">
        <v>19</v>
      </c>
      <c r="L280" s="16"/>
      <c r="M280" s="33"/>
      <c r="N280" s="129" t="s">
        <v>51</v>
      </c>
      <c r="O280" s="82"/>
      <c r="P280" s="82">
        <f>SUM(P281:P283)</f>
        <v>13625000</v>
      </c>
      <c r="Q280" s="82"/>
      <c r="R280" s="82">
        <f t="shared" si="71"/>
        <v>13625000</v>
      </c>
      <c r="S280" s="82">
        <f>S281+S283+S285</f>
        <v>10887450</v>
      </c>
      <c r="T280" s="82">
        <f>T281+T283+T285</f>
        <v>0</v>
      </c>
      <c r="U280" s="82">
        <f>SUM(U281:U285)</f>
        <v>10887450</v>
      </c>
      <c r="V280" s="82">
        <f t="shared" ref="V280" si="86">V281+V283+V285</f>
        <v>0</v>
      </c>
      <c r="W280" s="82">
        <f t="shared" si="72"/>
        <v>10887450</v>
      </c>
      <c r="X280" s="170">
        <f t="shared" si="73"/>
        <v>2737550</v>
      </c>
      <c r="Y280" s="170"/>
      <c r="Z280" s="170">
        <f t="shared" si="74"/>
        <v>0</v>
      </c>
      <c r="AA280" s="196">
        <f t="shared" si="75"/>
        <v>0.79907889908256879</v>
      </c>
      <c r="AB280" s="3"/>
      <c r="AC280" s="3"/>
      <c r="AD280" s="3"/>
      <c r="AE280" s="3"/>
    </row>
    <row r="281" spans="1:31" ht="47.25" customHeight="1">
      <c r="A281" s="67">
        <v>7</v>
      </c>
      <c r="B281" s="114" t="s">
        <v>19</v>
      </c>
      <c r="C281" s="114" t="s">
        <v>54</v>
      </c>
      <c r="D281" s="16">
        <v>2</v>
      </c>
      <c r="E281" s="105" t="s">
        <v>22</v>
      </c>
      <c r="F281" s="105" t="s">
        <v>19</v>
      </c>
      <c r="G281" s="16">
        <v>5</v>
      </c>
      <c r="H281" s="16">
        <v>1</v>
      </c>
      <c r="I281" s="105" t="s">
        <v>22</v>
      </c>
      <c r="J281" s="105" t="s">
        <v>19</v>
      </c>
      <c r="K281" s="105" t="s">
        <v>19</v>
      </c>
      <c r="L281" s="105" t="s">
        <v>56</v>
      </c>
      <c r="M281" s="33">
        <v>6</v>
      </c>
      <c r="N281" s="39" t="s">
        <v>134</v>
      </c>
      <c r="O281" s="81"/>
      <c r="P281" s="81">
        <f>'LRA SP2D'!O282</f>
        <v>0</v>
      </c>
      <c r="Q281" s="81"/>
      <c r="R281" s="81">
        <f>O281+P281+Q281</f>
        <v>0</v>
      </c>
      <c r="S281" s="225">
        <f>'LRA SP2D'!R282</f>
        <v>0</v>
      </c>
      <c r="T281" s="81"/>
      <c r="U281" s="81">
        <f>'LRA SP2D'!T282</f>
        <v>0</v>
      </c>
      <c r="V281" s="81"/>
      <c r="W281" s="81">
        <f t="shared" si="72"/>
        <v>0</v>
      </c>
      <c r="X281" s="161">
        <f t="shared" si="73"/>
        <v>0</v>
      </c>
      <c r="Y281" s="161"/>
      <c r="Z281" s="161">
        <f t="shared" si="74"/>
        <v>0</v>
      </c>
      <c r="AA281" s="199">
        <v>0</v>
      </c>
      <c r="AB281" s="3"/>
      <c r="AC281" s="3"/>
      <c r="AD281" s="3"/>
      <c r="AE281" s="3"/>
    </row>
    <row r="282" spans="1:31" ht="40.5" customHeight="1">
      <c r="A282" s="67">
        <v>7</v>
      </c>
      <c r="B282" s="114" t="s">
        <v>19</v>
      </c>
      <c r="C282" s="114" t="s">
        <v>54</v>
      </c>
      <c r="D282" s="16">
        <v>2</v>
      </c>
      <c r="E282" s="105" t="s">
        <v>22</v>
      </c>
      <c r="F282" s="105" t="s">
        <v>19</v>
      </c>
      <c r="G282" s="16">
        <v>5</v>
      </c>
      <c r="H282" s="16">
        <v>1</v>
      </c>
      <c r="I282" s="105" t="s">
        <v>22</v>
      </c>
      <c r="J282" s="105" t="s">
        <v>19</v>
      </c>
      <c r="K282" s="105" t="s">
        <v>19</v>
      </c>
      <c r="L282" s="105" t="s">
        <v>52</v>
      </c>
      <c r="M282" s="33">
        <v>6</v>
      </c>
      <c r="N282" s="39" t="s">
        <v>236</v>
      </c>
      <c r="O282" s="81"/>
      <c r="P282" s="81">
        <f>'LRA SP2D'!O283</f>
        <v>0</v>
      </c>
      <c r="Q282" s="81"/>
      <c r="R282" s="81">
        <f t="shared" ref="R282:R284" si="87">O282+P282+Q282</f>
        <v>0</v>
      </c>
      <c r="S282" s="225"/>
      <c r="T282" s="81"/>
      <c r="U282" s="81"/>
      <c r="V282" s="81"/>
      <c r="W282" s="81"/>
      <c r="X282" s="161">
        <f t="shared" ref="X282:X283" si="88">R282-W282</f>
        <v>0</v>
      </c>
      <c r="Y282" s="161"/>
      <c r="Z282" s="161">
        <f t="shared" ref="Z282:Z283" si="89">S282-W282</f>
        <v>0</v>
      </c>
      <c r="AA282" s="199">
        <v>0</v>
      </c>
      <c r="AB282" s="3"/>
      <c r="AC282" s="3"/>
      <c r="AD282" s="3"/>
      <c r="AE282" s="3"/>
    </row>
    <row r="283" spans="1:31" ht="40.5" customHeight="1">
      <c r="A283" s="67">
        <v>7</v>
      </c>
      <c r="B283" s="114" t="s">
        <v>19</v>
      </c>
      <c r="C283" s="114" t="s">
        <v>54</v>
      </c>
      <c r="D283" s="16">
        <v>2</v>
      </c>
      <c r="E283" s="105" t="s">
        <v>22</v>
      </c>
      <c r="F283" s="105" t="s">
        <v>19</v>
      </c>
      <c r="G283" s="16">
        <v>5</v>
      </c>
      <c r="H283" s="16">
        <v>1</v>
      </c>
      <c r="I283" s="105" t="s">
        <v>22</v>
      </c>
      <c r="J283" s="105" t="s">
        <v>19</v>
      </c>
      <c r="K283" s="105" t="s">
        <v>19</v>
      </c>
      <c r="L283" s="105" t="s">
        <v>66</v>
      </c>
      <c r="M283" s="91">
        <v>2</v>
      </c>
      <c r="N283" s="128" t="s">
        <v>126</v>
      </c>
      <c r="O283" s="81"/>
      <c r="P283" s="81">
        <f>'LRA SP2D'!O284</f>
        <v>13625000</v>
      </c>
      <c r="Q283" s="81"/>
      <c r="R283" s="81">
        <f t="shared" si="87"/>
        <v>13625000</v>
      </c>
      <c r="S283" s="81">
        <f>'LRA SP2D'!R284</f>
        <v>10887450</v>
      </c>
      <c r="T283" s="81"/>
      <c r="U283" s="81">
        <f>'LRA SP2D'!U284</f>
        <v>10887450</v>
      </c>
      <c r="V283" s="81"/>
      <c r="W283" s="81">
        <f t="shared" si="72"/>
        <v>10887450</v>
      </c>
      <c r="X283" s="161">
        <f t="shared" si="88"/>
        <v>2737550</v>
      </c>
      <c r="Y283" s="161"/>
      <c r="Z283" s="161">
        <f t="shared" si="89"/>
        <v>0</v>
      </c>
      <c r="AA283" s="199">
        <f t="shared" ref="AA283" si="90">W283/R283*100%</f>
        <v>0.79907889908256879</v>
      </c>
      <c r="AB283" s="3"/>
      <c r="AC283" s="3"/>
      <c r="AD283" s="3"/>
      <c r="AE283" s="3"/>
    </row>
    <row r="284" spans="1:31" ht="40.5" customHeight="1">
      <c r="A284" s="65">
        <v>7</v>
      </c>
      <c r="B284" s="113" t="s">
        <v>19</v>
      </c>
      <c r="C284" s="113" t="s">
        <v>54</v>
      </c>
      <c r="D284" s="12">
        <v>2</v>
      </c>
      <c r="E284" s="104" t="s">
        <v>22</v>
      </c>
      <c r="F284" s="104" t="s">
        <v>19</v>
      </c>
      <c r="G284" s="12">
        <v>5</v>
      </c>
      <c r="H284" s="12">
        <v>1</v>
      </c>
      <c r="I284" s="104" t="s">
        <v>22</v>
      </c>
      <c r="J284" s="104" t="s">
        <v>54</v>
      </c>
      <c r="K284" s="12"/>
      <c r="L284" s="16"/>
      <c r="M284" s="33"/>
      <c r="N284" s="129" t="s">
        <v>68</v>
      </c>
      <c r="O284" s="81"/>
      <c r="P284" s="82">
        <f>P285</f>
        <v>13050000</v>
      </c>
      <c r="Q284" s="82"/>
      <c r="R284" s="82">
        <f t="shared" si="87"/>
        <v>13050000</v>
      </c>
      <c r="S284" s="82"/>
      <c r="T284" s="82"/>
      <c r="U284" s="82"/>
      <c r="V284" s="82"/>
      <c r="W284" s="82">
        <f t="shared" si="72"/>
        <v>0</v>
      </c>
      <c r="X284" s="170">
        <f t="shared" si="73"/>
        <v>13050000</v>
      </c>
      <c r="Y284" s="170"/>
      <c r="Z284" s="170"/>
      <c r="AA284" s="196">
        <f t="shared" si="75"/>
        <v>0</v>
      </c>
      <c r="AB284" s="3"/>
      <c r="AC284" s="3"/>
      <c r="AD284" s="3"/>
      <c r="AE284" s="3"/>
    </row>
    <row r="285" spans="1:31" ht="40.5" customHeight="1">
      <c r="A285" s="65">
        <v>7</v>
      </c>
      <c r="B285" s="113" t="s">
        <v>19</v>
      </c>
      <c r="C285" s="113" t="s">
        <v>54</v>
      </c>
      <c r="D285" s="12">
        <v>2</v>
      </c>
      <c r="E285" s="104" t="s">
        <v>22</v>
      </c>
      <c r="F285" s="104" t="s">
        <v>19</v>
      </c>
      <c r="G285" s="12">
        <v>5</v>
      </c>
      <c r="H285" s="12">
        <v>1</v>
      </c>
      <c r="I285" s="104" t="s">
        <v>22</v>
      </c>
      <c r="J285" s="104" t="s">
        <v>54</v>
      </c>
      <c r="K285" s="104" t="s">
        <v>19</v>
      </c>
      <c r="L285" s="16"/>
      <c r="M285" s="33"/>
      <c r="N285" s="129" t="s">
        <v>69</v>
      </c>
      <c r="O285" s="81"/>
      <c r="P285" s="82">
        <f>P286</f>
        <v>13050000</v>
      </c>
      <c r="Q285" s="82"/>
      <c r="R285" s="82">
        <f t="shared" si="71"/>
        <v>13050000</v>
      </c>
      <c r="S285" s="226"/>
      <c r="T285" s="82"/>
      <c r="U285" s="82"/>
      <c r="V285" s="82"/>
      <c r="W285" s="82">
        <f t="shared" si="72"/>
        <v>0</v>
      </c>
      <c r="X285" s="170">
        <f t="shared" si="73"/>
        <v>13050000</v>
      </c>
      <c r="Y285" s="170">
        <f t="shared" si="80"/>
        <v>0</v>
      </c>
      <c r="Z285" s="170">
        <f t="shared" si="74"/>
        <v>0</v>
      </c>
      <c r="AA285" s="196">
        <f t="shared" si="75"/>
        <v>0</v>
      </c>
      <c r="AB285" s="3"/>
      <c r="AC285" s="3"/>
      <c r="AD285" s="3"/>
      <c r="AE285" s="3"/>
    </row>
    <row r="286" spans="1:31" ht="40.5" customHeight="1">
      <c r="A286" s="67">
        <v>7</v>
      </c>
      <c r="B286" s="114" t="s">
        <v>19</v>
      </c>
      <c r="C286" s="114" t="s">
        <v>54</v>
      </c>
      <c r="D286" s="16">
        <v>2</v>
      </c>
      <c r="E286" s="105" t="s">
        <v>22</v>
      </c>
      <c r="F286" s="105" t="s">
        <v>19</v>
      </c>
      <c r="G286" s="16">
        <v>5</v>
      </c>
      <c r="H286" s="16">
        <v>1</v>
      </c>
      <c r="I286" s="105" t="s">
        <v>22</v>
      </c>
      <c r="J286" s="105" t="s">
        <v>54</v>
      </c>
      <c r="K286" s="105" t="s">
        <v>19</v>
      </c>
      <c r="L286" s="105" t="s">
        <v>27</v>
      </c>
      <c r="M286" s="33">
        <v>3</v>
      </c>
      <c r="N286" s="128" t="s">
        <v>144</v>
      </c>
      <c r="O286" s="81"/>
      <c r="P286" s="81">
        <f>'LRA SP2D'!O287</f>
        <v>13050000</v>
      </c>
      <c r="Q286" s="82"/>
      <c r="R286" s="82">
        <f t="shared" si="71"/>
        <v>13050000</v>
      </c>
      <c r="S286" s="81">
        <f>'LRA SP2D'!R285</f>
        <v>12100000</v>
      </c>
      <c r="T286" s="81"/>
      <c r="U286" s="81">
        <f>'LRA SP2D'!U287</f>
        <v>12100000</v>
      </c>
      <c r="V286" s="82"/>
      <c r="W286" s="81">
        <f t="shared" si="72"/>
        <v>12100000</v>
      </c>
      <c r="X286" s="170">
        <f t="shared" si="73"/>
        <v>950000</v>
      </c>
      <c r="Y286" s="161"/>
      <c r="Z286" s="161">
        <f t="shared" si="74"/>
        <v>0</v>
      </c>
      <c r="AA286" s="199">
        <f t="shared" si="75"/>
        <v>0.92720306513409967</v>
      </c>
      <c r="AB286" s="3"/>
      <c r="AC286" s="3"/>
      <c r="AD286" s="3"/>
      <c r="AE286" s="3"/>
    </row>
    <row r="287" spans="1:31" ht="16.3">
      <c r="A287" s="7"/>
      <c r="B287" s="8"/>
      <c r="C287" s="8"/>
      <c r="D287" s="88"/>
      <c r="E287" s="88"/>
      <c r="F287" s="88"/>
      <c r="G287" s="88"/>
      <c r="H287" s="88"/>
      <c r="I287" s="88"/>
      <c r="J287" s="88"/>
      <c r="K287" s="88"/>
      <c r="L287" s="90"/>
      <c r="M287" s="91"/>
      <c r="N287" s="129"/>
      <c r="O287" s="81"/>
      <c r="P287" s="81"/>
      <c r="Q287" s="81"/>
      <c r="R287" s="81"/>
      <c r="S287" s="34"/>
      <c r="T287" s="81"/>
      <c r="U287" s="81"/>
      <c r="V287" s="81"/>
      <c r="W287" s="81"/>
      <c r="X287" s="161"/>
      <c r="Y287" s="161"/>
      <c r="Z287" s="161"/>
      <c r="AA287" s="199"/>
      <c r="AB287" s="3"/>
      <c r="AC287" s="3"/>
      <c r="AD287" s="3"/>
      <c r="AE287" s="3"/>
    </row>
    <row r="288" spans="1:31" ht="36" customHeight="1">
      <c r="A288" s="56">
        <v>7</v>
      </c>
      <c r="B288" s="109" t="s">
        <v>19</v>
      </c>
      <c r="C288" s="109" t="s">
        <v>32</v>
      </c>
      <c r="D288" s="57"/>
      <c r="E288" s="57"/>
      <c r="F288" s="57"/>
      <c r="G288" s="57"/>
      <c r="H288" s="57"/>
      <c r="I288" s="57"/>
      <c r="J288" s="57"/>
      <c r="K288" s="57"/>
      <c r="L288" s="57"/>
      <c r="M288" s="75"/>
      <c r="N288" s="127" t="s">
        <v>145</v>
      </c>
      <c r="O288" s="172"/>
      <c r="P288" s="172">
        <f>P290</f>
        <v>426621450</v>
      </c>
      <c r="Q288" s="172"/>
      <c r="R288" s="172">
        <f t="shared" si="71"/>
        <v>426621450</v>
      </c>
      <c r="S288" s="173">
        <f>S290</f>
        <v>338454905</v>
      </c>
      <c r="T288" s="172"/>
      <c r="U288" s="172">
        <f>U290</f>
        <v>357851905</v>
      </c>
      <c r="V288" s="172"/>
      <c r="W288" s="172">
        <f t="shared" si="72"/>
        <v>357851905</v>
      </c>
      <c r="X288" s="173">
        <f t="shared" si="73"/>
        <v>68769545</v>
      </c>
      <c r="Y288" s="173"/>
      <c r="Z288" s="173">
        <f t="shared" si="74"/>
        <v>-19397000</v>
      </c>
      <c r="AA288" s="200">
        <f t="shared" si="75"/>
        <v>0.8388042959396439</v>
      </c>
      <c r="AB288" s="3"/>
      <c r="AC288" s="3"/>
      <c r="AD288" s="3"/>
      <c r="AE288" s="3"/>
    </row>
    <row r="289" spans="1:31" ht="16.3">
      <c r="A289" s="54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73"/>
      <c r="N289" s="126"/>
      <c r="O289" s="82"/>
      <c r="P289" s="82"/>
      <c r="Q289" s="82"/>
      <c r="R289" s="82"/>
      <c r="S289" s="53"/>
      <c r="T289" s="82"/>
      <c r="U289" s="82"/>
      <c r="V289" s="82"/>
      <c r="W289" s="82"/>
      <c r="X289" s="170"/>
      <c r="Y289" s="170"/>
      <c r="Z289" s="170"/>
      <c r="AA289" s="196"/>
      <c r="AB289" s="3"/>
      <c r="AC289" s="3"/>
      <c r="AD289" s="3"/>
      <c r="AE289" s="3"/>
    </row>
    <row r="290" spans="1:31" ht="63.75" customHeight="1">
      <c r="A290" s="58">
        <v>7</v>
      </c>
      <c r="B290" s="110" t="s">
        <v>19</v>
      </c>
      <c r="C290" s="110" t="s">
        <v>32</v>
      </c>
      <c r="D290" s="110" t="s">
        <v>64</v>
      </c>
      <c r="E290" s="110" t="s">
        <v>19</v>
      </c>
      <c r="F290" s="59"/>
      <c r="G290" s="59"/>
      <c r="H290" s="59"/>
      <c r="I290" s="59"/>
      <c r="J290" s="59"/>
      <c r="K290" s="59"/>
      <c r="L290" s="59"/>
      <c r="M290" s="77"/>
      <c r="N290" s="25" t="s">
        <v>146</v>
      </c>
      <c r="O290" s="163"/>
      <c r="P290" s="163">
        <f>P292+P317</f>
        <v>426621450</v>
      </c>
      <c r="Q290" s="163"/>
      <c r="R290" s="163">
        <f>O290+P290+Q290</f>
        <v>426621450</v>
      </c>
      <c r="S290" s="95">
        <f>S292+S317</f>
        <v>338454905</v>
      </c>
      <c r="T290" s="163"/>
      <c r="U290" s="163">
        <f>U292+U317</f>
        <v>357851905</v>
      </c>
      <c r="V290" s="163"/>
      <c r="W290" s="163">
        <f t="shared" si="72"/>
        <v>357851905</v>
      </c>
      <c r="X290" s="95">
        <f t="shared" si="73"/>
        <v>68769545</v>
      </c>
      <c r="Y290" s="95"/>
      <c r="Z290" s="95">
        <f t="shared" si="74"/>
        <v>-19397000</v>
      </c>
      <c r="AA290" s="197">
        <f t="shared" si="75"/>
        <v>0.8388042959396439</v>
      </c>
      <c r="AB290" s="3"/>
      <c r="AC290" s="3"/>
      <c r="AD290" s="3"/>
      <c r="AE290" s="3"/>
    </row>
    <row r="291" spans="1:31" ht="16.3">
      <c r="A291" s="60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79"/>
      <c r="N291" s="125"/>
      <c r="O291" s="81"/>
      <c r="P291" s="81"/>
      <c r="Q291" s="81"/>
      <c r="R291" s="81"/>
      <c r="S291" s="34"/>
      <c r="T291" s="81"/>
      <c r="U291" s="81"/>
      <c r="V291" s="81"/>
      <c r="W291" s="81"/>
      <c r="X291" s="161"/>
      <c r="Y291" s="161"/>
      <c r="Z291" s="161"/>
      <c r="AA291" s="199"/>
      <c r="AB291" s="3"/>
      <c r="AC291" s="3"/>
      <c r="AD291" s="3"/>
      <c r="AE291" s="3"/>
    </row>
    <row r="292" spans="1:31" ht="96" customHeight="1">
      <c r="A292" s="62">
        <v>7</v>
      </c>
      <c r="B292" s="111" t="s">
        <v>19</v>
      </c>
      <c r="C292" s="111" t="s">
        <v>32</v>
      </c>
      <c r="D292" s="14">
        <v>2</v>
      </c>
      <c r="E292" s="103" t="s">
        <v>19</v>
      </c>
      <c r="F292" s="103" t="s">
        <v>54</v>
      </c>
      <c r="G292" s="89"/>
      <c r="H292" s="89"/>
      <c r="I292" s="89"/>
      <c r="J292" s="89"/>
      <c r="K292" s="89"/>
      <c r="L292" s="89"/>
      <c r="M292" s="93"/>
      <c r="N292" s="41" t="s">
        <v>147</v>
      </c>
      <c r="O292" s="165"/>
      <c r="P292" s="165">
        <f>P293</f>
        <v>365261450</v>
      </c>
      <c r="Q292" s="165"/>
      <c r="R292" s="165">
        <f t="shared" si="71"/>
        <v>365261450</v>
      </c>
      <c r="S292" s="165">
        <f>S293</f>
        <v>314971730</v>
      </c>
      <c r="T292" s="165">
        <f t="shared" ref="T292:V294" si="91">T293</f>
        <v>0</v>
      </c>
      <c r="U292" s="165">
        <f t="shared" si="91"/>
        <v>315376730</v>
      </c>
      <c r="V292" s="165">
        <f t="shared" si="91"/>
        <v>0</v>
      </c>
      <c r="W292" s="165">
        <f t="shared" si="72"/>
        <v>315376730</v>
      </c>
      <c r="X292" s="168">
        <f t="shared" si="73"/>
        <v>49884720</v>
      </c>
      <c r="Y292" s="168"/>
      <c r="Z292" s="168">
        <f t="shared" si="74"/>
        <v>-405000</v>
      </c>
      <c r="AA292" s="198">
        <f t="shared" si="75"/>
        <v>0.86342736141467979</v>
      </c>
      <c r="AB292" s="3"/>
      <c r="AC292" s="3"/>
      <c r="AD292" s="3"/>
      <c r="AE292" s="3"/>
    </row>
    <row r="293" spans="1:31" ht="33" customHeight="1">
      <c r="A293" s="65">
        <v>7</v>
      </c>
      <c r="B293" s="113" t="s">
        <v>19</v>
      </c>
      <c r="C293" s="113" t="s">
        <v>32</v>
      </c>
      <c r="D293" s="12">
        <v>2</v>
      </c>
      <c r="E293" s="104" t="s">
        <v>19</v>
      </c>
      <c r="F293" s="104" t="s">
        <v>54</v>
      </c>
      <c r="G293" s="12">
        <v>5</v>
      </c>
      <c r="H293" s="12">
        <v>1</v>
      </c>
      <c r="I293" s="104" t="s">
        <v>22</v>
      </c>
      <c r="J293" s="12"/>
      <c r="K293" s="12"/>
      <c r="L293" s="16"/>
      <c r="M293" s="33"/>
      <c r="N293" s="129" t="s">
        <v>123</v>
      </c>
      <c r="O293" s="82"/>
      <c r="P293" s="82">
        <f>P294+P303+P310+P313</f>
        <v>365261450</v>
      </c>
      <c r="Q293" s="82"/>
      <c r="R293" s="82">
        <f t="shared" si="71"/>
        <v>365261450</v>
      </c>
      <c r="S293" s="82">
        <f t="shared" ref="S293:V293" si="92">S294+S303+S310+S313</f>
        <v>314971730</v>
      </c>
      <c r="T293" s="82">
        <f>T294+T303+T310+T313</f>
        <v>0</v>
      </c>
      <c r="U293" s="82">
        <f t="shared" si="92"/>
        <v>315376730</v>
      </c>
      <c r="V293" s="82">
        <f t="shared" si="92"/>
        <v>0</v>
      </c>
      <c r="W293" s="82">
        <f t="shared" si="72"/>
        <v>315376730</v>
      </c>
      <c r="X293" s="170">
        <f t="shared" si="73"/>
        <v>49884720</v>
      </c>
      <c r="Y293" s="170"/>
      <c r="Z293" s="170">
        <f t="shared" si="74"/>
        <v>-405000</v>
      </c>
      <c r="AA293" s="196">
        <f t="shared" si="75"/>
        <v>0.86342736141467979</v>
      </c>
      <c r="AB293" s="3"/>
      <c r="AC293" s="3"/>
      <c r="AD293" s="3"/>
      <c r="AE293" s="3"/>
    </row>
    <row r="294" spans="1:31" ht="33" customHeight="1">
      <c r="A294" s="65">
        <v>7</v>
      </c>
      <c r="B294" s="113" t="s">
        <v>19</v>
      </c>
      <c r="C294" s="113" t="s">
        <v>32</v>
      </c>
      <c r="D294" s="12">
        <v>2</v>
      </c>
      <c r="E294" s="104" t="s">
        <v>19</v>
      </c>
      <c r="F294" s="104" t="s">
        <v>54</v>
      </c>
      <c r="G294" s="12">
        <v>5</v>
      </c>
      <c r="H294" s="12">
        <v>1</v>
      </c>
      <c r="I294" s="104" t="s">
        <v>22</v>
      </c>
      <c r="J294" s="104" t="s">
        <v>19</v>
      </c>
      <c r="K294" s="12"/>
      <c r="L294" s="16"/>
      <c r="M294" s="33"/>
      <c r="N294" s="129" t="s">
        <v>65</v>
      </c>
      <c r="O294" s="82"/>
      <c r="P294" s="82">
        <f>P295</f>
        <v>204411450</v>
      </c>
      <c r="Q294" s="82"/>
      <c r="R294" s="82">
        <f t="shared" ref="R294:R339" si="93">O294+P294+Q294</f>
        <v>204411450</v>
      </c>
      <c r="S294" s="82">
        <f>S295</f>
        <v>168821730</v>
      </c>
      <c r="T294" s="82">
        <f>T295</f>
        <v>0</v>
      </c>
      <c r="U294" s="82">
        <f t="shared" si="91"/>
        <v>169226730</v>
      </c>
      <c r="V294" s="82">
        <f t="shared" si="91"/>
        <v>0</v>
      </c>
      <c r="W294" s="82">
        <f t="shared" ref="W294:W326" si="94">T294+U294+V294</f>
        <v>169226730</v>
      </c>
      <c r="X294" s="170">
        <f t="shared" ref="X294:X324" si="95">R294-W294</f>
        <v>35184720</v>
      </c>
      <c r="Y294" s="170"/>
      <c r="Z294" s="170">
        <f t="shared" ref="Z294:Z324" si="96">S294-W294</f>
        <v>-405000</v>
      </c>
      <c r="AA294" s="196">
        <f t="shared" ref="AA294:AA324" si="97">W294/R294*100%</f>
        <v>0.82787304722900801</v>
      </c>
      <c r="AB294" s="3"/>
      <c r="AC294" s="3"/>
      <c r="AD294" s="3"/>
      <c r="AE294" s="3"/>
    </row>
    <row r="295" spans="1:31" ht="33" customHeight="1">
      <c r="A295" s="65">
        <v>7</v>
      </c>
      <c r="B295" s="113" t="s">
        <v>19</v>
      </c>
      <c r="C295" s="113" t="s">
        <v>32</v>
      </c>
      <c r="D295" s="12">
        <v>2</v>
      </c>
      <c r="E295" s="104" t="s">
        <v>19</v>
      </c>
      <c r="F295" s="104" t="s">
        <v>54</v>
      </c>
      <c r="G295" s="12">
        <v>5</v>
      </c>
      <c r="H295" s="12">
        <v>1</v>
      </c>
      <c r="I295" s="104" t="s">
        <v>22</v>
      </c>
      <c r="J295" s="104" t="s">
        <v>19</v>
      </c>
      <c r="K295" s="104" t="s">
        <v>19</v>
      </c>
      <c r="L295" s="16"/>
      <c r="M295" s="33"/>
      <c r="N295" s="129" t="s">
        <v>51</v>
      </c>
      <c r="O295" s="82"/>
      <c r="P295" s="82">
        <f>SUM(P296:P302)</f>
        <v>204411450</v>
      </c>
      <c r="Q295" s="82"/>
      <c r="R295" s="82">
        <f>O295+P295+Q295</f>
        <v>204411450</v>
      </c>
      <c r="S295" s="82">
        <f>S297+S298+S299+S300+S301+S302</f>
        <v>168821730</v>
      </c>
      <c r="T295" s="82">
        <f>SUM(T296:T302)</f>
        <v>0</v>
      </c>
      <c r="U295" s="82">
        <f t="shared" ref="U295" si="98">SUM(U296:U302)</f>
        <v>169226730</v>
      </c>
      <c r="V295" s="82"/>
      <c r="W295" s="82">
        <f t="shared" si="94"/>
        <v>169226730</v>
      </c>
      <c r="X295" s="170">
        <f t="shared" si="95"/>
        <v>35184720</v>
      </c>
      <c r="Y295" s="170"/>
      <c r="Z295" s="170">
        <f t="shared" si="96"/>
        <v>-405000</v>
      </c>
      <c r="AA295" s="196">
        <f t="shared" si="97"/>
        <v>0.82787304722900801</v>
      </c>
      <c r="AB295" s="3"/>
      <c r="AC295" s="3"/>
      <c r="AD295" s="3"/>
      <c r="AE295" s="3"/>
    </row>
    <row r="296" spans="1:31" ht="33" customHeight="1">
      <c r="A296" s="384">
        <v>7</v>
      </c>
      <c r="B296" s="385" t="s">
        <v>19</v>
      </c>
      <c r="C296" s="394" t="s">
        <v>148</v>
      </c>
      <c r="D296" s="307">
        <v>2</v>
      </c>
      <c r="E296" s="306" t="s">
        <v>19</v>
      </c>
      <c r="F296" s="306" t="s">
        <v>54</v>
      </c>
      <c r="G296" s="307">
        <v>5</v>
      </c>
      <c r="H296" s="307">
        <v>1</v>
      </c>
      <c r="I296" s="306" t="s">
        <v>22</v>
      </c>
      <c r="J296" s="306" t="s">
        <v>19</v>
      </c>
      <c r="K296" s="306" t="s">
        <v>19</v>
      </c>
      <c r="L296" s="306" t="s">
        <v>56</v>
      </c>
      <c r="M296" s="308">
        <v>4</v>
      </c>
      <c r="N296" s="318" t="s">
        <v>273</v>
      </c>
      <c r="O296" s="81"/>
      <c r="P296" s="81">
        <f>'LRA SP2D'!O297</f>
        <v>30000</v>
      </c>
      <c r="Q296" s="81"/>
      <c r="R296" s="81">
        <f>SUM(O296:Q296)</f>
        <v>30000</v>
      </c>
      <c r="S296" s="81"/>
      <c r="T296" s="82"/>
      <c r="U296" s="82"/>
      <c r="V296" s="82"/>
      <c r="W296" s="82"/>
      <c r="X296" s="170"/>
      <c r="Y296" s="170"/>
      <c r="Z296" s="170"/>
      <c r="AA296" s="196"/>
      <c r="AB296" s="3"/>
      <c r="AC296" s="3"/>
      <c r="AD296" s="3"/>
      <c r="AE296" s="3"/>
    </row>
    <row r="297" spans="1:31" ht="55.5" customHeight="1">
      <c r="A297" s="67">
        <v>7</v>
      </c>
      <c r="B297" s="114" t="s">
        <v>19</v>
      </c>
      <c r="C297" s="68" t="s">
        <v>148</v>
      </c>
      <c r="D297" s="16">
        <v>2</v>
      </c>
      <c r="E297" s="105" t="s">
        <v>19</v>
      </c>
      <c r="F297" s="105" t="s">
        <v>54</v>
      </c>
      <c r="G297" s="16">
        <v>5</v>
      </c>
      <c r="H297" s="16">
        <v>1</v>
      </c>
      <c r="I297" s="105" t="s">
        <v>22</v>
      </c>
      <c r="J297" s="105" t="s">
        <v>19</v>
      </c>
      <c r="K297" s="105" t="s">
        <v>19</v>
      </c>
      <c r="L297" s="105" t="s">
        <v>56</v>
      </c>
      <c r="M297" s="33">
        <v>6</v>
      </c>
      <c r="N297" s="39" t="s">
        <v>134</v>
      </c>
      <c r="O297" s="81"/>
      <c r="P297" s="81">
        <f>'LRA SP2D'!O298</f>
        <v>3936450</v>
      </c>
      <c r="Q297" s="81"/>
      <c r="R297" s="81">
        <f t="shared" si="93"/>
        <v>3936450</v>
      </c>
      <c r="S297" s="81">
        <f>'LRA SP2D'!R298</f>
        <v>2369500</v>
      </c>
      <c r="T297" s="81"/>
      <c r="U297" s="81">
        <f>'LRA SP2D'!U298</f>
        <v>2774500</v>
      </c>
      <c r="V297" s="81"/>
      <c r="W297" s="81">
        <f t="shared" si="94"/>
        <v>2774500</v>
      </c>
      <c r="X297" s="161">
        <f t="shared" si="95"/>
        <v>1161950</v>
      </c>
      <c r="Y297" s="161"/>
      <c r="Z297" s="161">
        <f t="shared" si="96"/>
        <v>-405000</v>
      </c>
      <c r="AA297" s="199">
        <f t="shared" si="97"/>
        <v>0.7048228734011609</v>
      </c>
      <c r="AB297" s="3"/>
      <c r="AC297" s="3"/>
      <c r="AD297" s="3"/>
      <c r="AE297" s="3"/>
    </row>
    <row r="298" spans="1:31" ht="38.25" customHeight="1">
      <c r="A298" s="67">
        <v>7</v>
      </c>
      <c r="B298" s="114" t="s">
        <v>19</v>
      </c>
      <c r="C298" s="114" t="s">
        <v>32</v>
      </c>
      <c r="D298" s="16">
        <v>2</v>
      </c>
      <c r="E298" s="105" t="s">
        <v>19</v>
      </c>
      <c r="F298" s="105" t="s">
        <v>54</v>
      </c>
      <c r="G298" s="16">
        <v>5</v>
      </c>
      <c r="H298" s="16">
        <v>1</v>
      </c>
      <c r="I298" s="105" t="s">
        <v>22</v>
      </c>
      <c r="J298" s="105" t="s">
        <v>19</v>
      </c>
      <c r="K298" s="105" t="s">
        <v>19</v>
      </c>
      <c r="L298" s="105" t="s">
        <v>52</v>
      </c>
      <c r="M298" s="91">
        <v>5</v>
      </c>
      <c r="N298" s="39" t="s">
        <v>136</v>
      </c>
      <c r="O298" s="81"/>
      <c r="P298" s="81">
        <f>'LRA SP2D'!O299</f>
        <v>46000000</v>
      </c>
      <c r="Q298" s="81"/>
      <c r="R298" s="81">
        <f t="shared" si="93"/>
        <v>46000000</v>
      </c>
      <c r="S298" s="81">
        <f>'LRA SP2D'!R299</f>
        <v>40103000</v>
      </c>
      <c r="T298" s="81"/>
      <c r="U298" s="81">
        <f>'LRA SP2D'!U299</f>
        <v>40103000</v>
      </c>
      <c r="V298" s="81"/>
      <c r="W298" s="81">
        <f t="shared" si="94"/>
        <v>40103000</v>
      </c>
      <c r="X298" s="161">
        <f t="shared" si="95"/>
        <v>5897000</v>
      </c>
      <c r="Y298" s="161">
        <f t="shared" ref="Y298:Y300" si="99">S298-W298</f>
        <v>0</v>
      </c>
      <c r="Z298" s="161">
        <f t="shared" si="96"/>
        <v>0</v>
      </c>
      <c r="AA298" s="199">
        <f t="shared" si="97"/>
        <v>0.87180434782608696</v>
      </c>
      <c r="AB298" s="3"/>
      <c r="AC298" s="3"/>
      <c r="AD298" s="3"/>
      <c r="AE298" s="3"/>
    </row>
    <row r="299" spans="1:31" ht="33" customHeight="1">
      <c r="A299" s="384">
        <v>7</v>
      </c>
      <c r="B299" s="385" t="s">
        <v>19</v>
      </c>
      <c r="C299" s="385" t="s">
        <v>32</v>
      </c>
      <c r="D299" s="307">
        <v>2</v>
      </c>
      <c r="E299" s="306" t="s">
        <v>19</v>
      </c>
      <c r="F299" s="306" t="s">
        <v>54</v>
      </c>
      <c r="G299" s="307">
        <v>5</v>
      </c>
      <c r="H299" s="307">
        <v>1</v>
      </c>
      <c r="I299" s="306" t="s">
        <v>22</v>
      </c>
      <c r="J299" s="306" t="s">
        <v>19</v>
      </c>
      <c r="K299" s="306" t="s">
        <v>19</v>
      </c>
      <c r="L299" s="306" t="s">
        <v>66</v>
      </c>
      <c r="M299" s="417">
        <v>2</v>
      </c>
      <c r="N299" s="407" t="s">
        <v>67</v>
      </c>
      <c r="O299" s="81"/>
      <c r="P299" s="81">
        <f>'LRA SP2D'!O300</f>
        <v>4000000</v>
      </c>
      <c r="Q299" s="81"/>
      <c r="R299" s="81">
        <f t="shared" si="93"/>
        <v>4000000</v>
      </c>
      <c r="S299" s="81">
        <f>U299</f>
        <v>3164700</v>
      </c>
      <c r="T299" s="81"/>
      <c r="U299" s="81">
        <f>'LRA SP2D'!U300</f>
        <v>3164700</v>
      </c>
      <c r="V299" s="81"/>
      <c r="W299" s="81">
        <f t="shared" si="94"/>
        <v>3164700</v>
      </c>
      <c r="X299" s="161">
        <f t="shared" si="95"/>
        <v>835300</v>
      </c>
      <c r="Y299" s="161">
        <f t="shared" si="99"/>
        <v>0</v>
      </c>
      <c r="Z299" s="161">
        <f t="shared" si="96"/>
        <v>0</v>
      </c>
      <c r="AA299" s="199">
        <f t="shared" si="97"/>
        <v>0.79117499999999996</v>
      </c>
      <c r="AB299" s="3"/>
      <c r="AC299" s="3"/>
      <c r="AD299" s="3"/>
      <c r="AE299" s="3"/>
    </row>
    <row r="300" spans="1:31" ht="33" customHeight="1">
      <c r="A300" s="67">
        <v>7</v>
      </c>
      <c r="B300" s="114" t="s">
        <v>19</v>
      </c>
      <c r="C300" s="114" t="s">
        <v>32</v>
      </c>
      <c r="D300" s="16">
        <v>2</v>
      </c>
      <c r="E300" s="105" t="s">
        <v>19</v>
      </c>
      <c r="F300" s="105" t="s">
        <v>54</v>
      </c>
      <c r="G300" s="16">
        <v>5</v>
      </c>
      <c r="H300" s="16">
        <v>1</v>
      </c>
      <c r="I300" s="105" t="s">
        <v>22</v>
      </c>
      <c r="J300" s="105" t="s">
        <v>19</v>
      </c>
      <c r="K300" s="105" t="s">
        <v>19</v>
      </c>
      <c r="L300" s="105" t="s">
        <v>66</v>
      </c>
      <c r="M300" s="91">
        <v>3</v>
      </c>
      <c r="N300" s="128" t="s">
        <v>149</v>
      </c>
      <c r="O300" s="81"/>
      <c r="P300" s="81">
        <f>'LRA SP2D'!O301</f>
        <v>4800000</v>
      </c>
      <c r="Q300" s="81"/>
      <c r="R300" s="81">
        <f t="shared" si="93"/>
        <v>4800000</v>
      </c>
      <c r="S300" s="81">
        <f>'LRA SP2D'!R301</f>
        <v>3780000</v>
      </c>
      <c r="T300" s="81"/>
      <c r="U300" s="81">
        <f>'LRA SP2D'!U301</f>
        <v>3780000</v>
      </c>
      <c r="V300" s="81"/>
      <c r="W300" s="81">
        <f t="shared" si="94"/>
        <v>3780000</v>
      </c>
      <c r="X300" s="161">
        <f t="shared" si="95"/>
        <v>1020000</v>
      </c>
      <c r="Y300" s="161">
        <f t="shared" si="99"/>
        <v>0</v>
      </c>
      <c r="Z300" s="161">
        <f t="shared" si="96"/>
        <v>0</v>
      </c>
      <c r="AA300" s="199">
        <f t="shared" si="97"/>
        <v>0.78749999999999998</v>
      </c>
      <c r="AB300" s="3"/>
      <c r="AC300" s="3"/>
      <c r="AD300" s="3"/>
      <c r="AE300" s="3"/>
    </row>
    <row r="301" spans="1:31" ht="33" customHeight="1">
      <c r="A301" s="384">
        <v>7</v>
      </c>
      <c r="B301" s="385" t="s">
        <v>19</v>
      </c>
      <c r="C301" s="385" t="s">
        <v>32</v>
      </c>
      <c r="D301" s="307">
        <v>2</v>
      </c>
      <c r="E301" s="306" t="s">
        <v>19</v>
      </c>
      <c r="F301" s="306" t="s">
        <v>54</v>
      </c>
      <c r="G301" s="307">
        <v>5</v>
      </c>
      <c r="H301" s="307">
        <v>1</v>
      </c>
      <c r="I301" s="306" t="s">
        <v>22</v>
      </c>
      <c r="J301" s="306" t="s">
        <v>19</v>
      </c>
      <c r="K301" s="306" t="s">
        <v>19</v>
      </c>
      <c r="L301" s="306" t="s">
        <v>66</v>
      </c>
      <c r="M301" s="417">
        <v>8</v>
      </c>
      <c r="N301" s="407" t="s">
        <v>127</v>
      </c>
      <c r="O301" s="81"/>
      <c r="P301" s="81">
        <f>'LRA SP2D'!O302</f>
        <v>108145000</v>
      </c>
      <c r="Q301" s="81"/>
      <c r="R301" s="81">
        <f t="shared" si="93"/>
        <v>108145000</v>
      </c>
      <c r="S301" s="81">
        <f>'LRA SP2D'!R302</f>
        <v>81904530</v>
      </c>
      <c r="T301" s="81"/>
      <c r="U301" s="81">
        <f>'LRA SP2D'!U302</f>
        <v>81904530</v>
      </c>
      <c r="V301" s="81"/>
      <c r="W301" s="81">
        <f t="shared" si="94"/>
        <v>81904530</v>
      </c>
      <c r="X301" s="161">
        <f t="shared" ref="X301:X315" si="100">R301-W301</f>
        <v>26240470</v>
      </c>
      <c r="Y301" s="161"/>
      <c r="Z301" s="161">
        <f t="shared" ref="Z301:Z315" si="101">S301-W301</f>
        <v>0</v>
      </c>
      <c r="AA301" s="199">
        <f t="shared" ref="AA301:AA315" si="102">W301/R301*100%</f>
        <v>0.75735845392759715</v>
      </c>
      <c r="AB301" s="3"/>
      <c r="AC301" s="3"/>
      <c r="AD301" s="3"/>
      <c r="AE301" s="3"/>
    </row>
    <row r="302" spans="1:31" ht="33" customHeight="1">
      <c r="A302" s="67">
        <v>7</v>
      </c>
      <c r="B302" s="114" t="s">
        <v>19</v>
      </c>
      <c r="C302" s="114" t="s">
        <v>32</v>
      </c>
      <c r="D302" s="16">
        <v>2</v>
      </c>
      <c r="E302" s="105" t="s">
        <v>19</v>
      </c>
      <c r="F302" s="105" t="s">
        <v>54</v>
      </c>
      <c r="G302" s="16">
        <v>5</v>
      </c>
      <c r="H302" s="16">
        <v>1</v>
      </c>
      <c r="I302" s="105" t="s">
        <v>22</v>
      </c>
      <c r="J302" s="105" t="s">
        <v>19</v>
      </c>
      <c r="K302" s="105" t="s">
        <v>19</v>
      </c>
      <c r="L302" s="105" t="s">
        <v>128</v>
      </c>
      <c r="M302" s="91">
        <v>5</v>
      </c>
      <c r="N302" s="128" t="s">
        <v>150</v>
      </c>
      <c r="O302" s="81"/>
      <c r="P302" s="81">
        <f>'LRA SP2D'!O303</f>
        <v>37500000</v>
      </c>
      <c r="Q302" s="81"/>
      <c r="R302" s="81">
        <f t="shared" si="93"/>
        <v>37500000</v>
      </c>
      <c r="S302" s="81">
        <f>'LRA SP2D'!R303</f>
        <v>37500000</v>
      </c>
      <c r="T302" s="81"/>
      <c r="U302" s="81">
        <f>'LRA SP2D'!U303</f>
        <v>37500000</v>
      </c>
      <c r="V302" s="81"/>
      <c r="W302" s="81">
        <f t="shared" si="94"/>
        <v>37500000</v>
      </c>
      <c r="X302" s="161">
        <f t="shared" si="100"/>
        <v>0</v>
      </c>
      <c r="Y302" s="161"/>
      <c r="Z302" s="161">
        <f t="shared" si="101"/>
        <v>0</v>
      </c>
      <c r="AA302" s="199">
        <v>0</v>
      </c>
      <c r="AB302" s="3"/>
      <c r="AC302" s="3"/>
      <c r="AD302" s="3"/>
      <c r="AE302" s="3"/>
    </row>
    <row r="303" spans="1:31" ht="33" customHeight="1">
      <c r="A303" s="379">
        <v>7</v>
      </c>
      <c r="B303" s="380" t="s">
        <v>19</v>
      </c>
      <c r="C303" s="380" t="s">
        <v>32</v>
      </c>
      <c r="D303" s="289">
        <v>2</v>
      </c>
      <c r="E303" s="302" t="s">
        <v>19</v>
      </c>
      <c r="F303" s="302" t="s">
        <v>54</v>
      </c>
      <c r="G303" s="289">
        <v>5</v>
      </c>
      <c r="H303" s="289">
        <v>1</v>
      </c>
      <c r="I303" s="302" t="s">
        <v>22</v>
      </c>
      <c r="J303" s="302" t="s">
        <v>22</v>
      </c>
      <c r="K303" s="302"/>
      <c r="L303" s="302"/>
      <c r="M303" s="290"/>
      <c r="N303" s="316" t="s">
        <v>75</v>
      </c>
      <c r="O303" s="82"/>
      <c r="P303" s="82">
        <f>P304</f>
        <v>71150000</v>
      </c>
      <c r="Q303" s="82"/>
      <c r="R303" s="82">
        <f t="shared" si="93"/>
        <v>71150000</v>
      </c>
      <c r="S303" s="82">
        <f>S304</f>
        <v>58550000</v>
      </c>
      <c r="T303" s="82">
        <f t="shared" ref="T303:U303" si="103">T304</f>
        <v>0</v>
      </c>
      <c r="U303" s="82">
        <f t="shared" si="103"/>
        <v>58550000</v>
      </c>
      <c r="V303" s="82"/>
      <c r="W303" s="82">
        <f>SUM(T303:V303)</f>
        <v>58550000</v>
      </c>
      <c r="X303" s="161">
        <f t="shared" si="100"/>
        <v>12600000</v>
      </c>
      <c r="Y303" s="161">
        <f t="shared" ref="Y303:Y315" si="104">S303-W303</f>
        <v>0</v>
      </c>
      <c r="Z303" s="161">
        <f t="shared" si="101"/>
        <v>0</v>
      </c>
      <c r="AA303" s="199">
        <f t="shared" si="102"/>
        <v>0.82290934645115954</v>
      </c>
      <c r="AB303" s="159"/>
      <c r="AC303" s="159"/>
      <c r="AD303" s="3"/>
      <c r="AE303" s="3"/>
    </row>
    <row r="304" spans="1:31" ht="33" customHeight="1">
      <c r="A304" s="379">
        <v>7</v>
      </c>
      <c r="B304" s="380" t="s">
        <v>19</v>
      </c>
      <c r="C304" s="380" t="s">
        <v>32</v>
      </c>
      <c r="D304" s="289">
        <v>2</v>
      </c>
      <c r="E304" s="302" t="s">
        <v>19</v>
      </c>
      <c r="F304" s="302" t="s">
        <v>54</v>
      </c>
      <c r="G304" s="289">
        <v>5</v>
      </c>
      <c r="H304" s="289">
        <v>1</v>
      </c>
      <c r="I304" s="302" t="s">
        <v>22</v>
      </c>
      <c r="J304" s="302" t="s">
        <v>22</v>
      </c>
      <c r="K304" s="302" t="s">
        <v>19</v>
      </c>
      <c r="L304" s="302"/>
      <c r="M304" s="290"/>
      <c r="N304" s="316" t="s">
        <v>114</v>
      </c>
      <c r="O304" s="82"/>
      <c r="P304" s="82">
        <f>SUM(P305:P309)</f>
        <v>71150000</v>
      </c>
      <c r="Q304" s="82"/>
      <c r="R304" s="82">
        <f t="shared" si="93"/>
        <v>71150000</v>
      </c>
      <c r="S304" s="82">
        <f>SUM(S305:S309)</f>
        <v>58550000</v>
      </c>
      <c r="T304" s="82">
        <f t="shared" ref="T304:U304" si="105">SUM(T305:T309)</f>
        <v>0</v>
      </c>
      <c r="U304" s="82">
        <f t="shared" si="105"/>
        <v>58550000</v>
      </c>
      <c r="V304" s="82"/>
      <c r="W304" s="82">
        <f>SUM(T304:V304)</f>
        <v>58550000</v>
      </c>
      <c r="X304" s="161">
        <f t="shared" si="100"/>
        <v>12600000</v>
      </c>
      <c r="Y304" s="161">
        <f t="shared" si="104"/>
        <v>0</v>
      </c>
      <c r="Z304" s="161">
        <f t="shared" si="101"/>
        <v>0</v>
      </c>
      <c r="AA304" s="199">
        <f t="shared" si="102"/>
        <v>0.82290934645115954</v>
      </c>
      <c r="AB304" s="159"/>
      <c r="AC304" s="159"/>
      <c r="AD304" s="3"/>
      <c r="AE304" s="3"/>
    </row>
    <row r="305" spans="1:31" ht="48" customHeight="1">
      <c r="A305" s="384">
        <v>7</v>
      </c>
      <c r="B305" s="385" t="s">
        <v>19</v>
      </c>
      <c r="C305" s="385" t="s">
        <v>32</v>
      </c>
      <c r="D305" s="307">
        <v>2</v>
      </c>
      <c r="E305" s="306" t="s">
        <v>19</v>
      </c>
      <c r="F305" s="306" t="s">
        <v>54</v>
      </c>
      <c r="G305" s="307">
        <v>5</v>
      </c>
      <c r="H305" s="307">
        <v>1</v>
      </c>
      <c r="I305" s="306" t="s">
        <v>22</v>
      </c>
      <c r="J305" s="306" t="s">
        <v>22</v>
      </c>
      <c r="K305" s="306" t="s">
        <v>19</v>
      </c>
      <c r="L305" s="306" t="s">
        <v>27</v>
      </c>
      <c r="M305" s="308">
        <v>3</v>
      </c>
      <c r="N305" s="318" t="s">
        <v>115</v>
      </c>
      <c r="O305" s="81"/>
      <c r="P305" s="81">
        <f>'LRA SP2D'!O306</f>
        <v>25050000</v>
      </c>
      <c r="Q305" s="81"/>
      <c r="R305" s="81">
        <f t="shared" si="93"/>
        <v>25050000</v>
      </c>
      <c r="S305" s="81">
        <f>'LRA SP2D'!R306</f>
        <v>25050000</v>
      </c>
      <c r="T305" s="81"/>
      <c r="U305" s="81">
        <f>'LRA SP2D'!U306</f>
        <v>25050000</v>
      </c>
      <c r="V305" s="81"/>
      <c r="W305" s="81">
        <f>SUM(T305:V305)</f>
        <v>25050000</v>
      </c>
      <c r="X305" s="161">
        <f t="shared" si="100"/>
        <v>0</v>
      </c>
      <c r="Y305" s="161">
        <f t="shared" si="104"/>
        <v>0</v>
      </c>
      <c r="Z305" s="161">
        <f t="shared" si="101"/>
        <v>0</v>
      </c>
      <c r="AA305" s="199">
        <f t="shared" si="102"/>
        <v>1</v>
      </c>
      <c r="AB305" s="3"/>
      <c r="AC305" s="3"/>
      <c r="AD305" s="3"/>
      <c r="AE305" s="3"/>
    </row>
    <row r="306" spans="1:31" ht="53.25" customHeight="1">
      <c r="A306" s="384">
        <v>7</v>
      </c>
      <c r="B306" s="385" t="s">
        <v>19</v>
      </c>
      <c r="C306" s="385" t="s">
        <v>32</v>
      </c>
      <c r="D306" s="307">
        <v>2</v>
      </c>
      <c r="E306" s="306" t="s">
        <v>19</v>
      </c>
      <c r="F306" s="306" t="s">
        <v>54</v>
      </c>
      <c r="G306" s="307">
        <v>5</v>
      </c>
      <c r="H306" s="307">
        <v>1</v>
      </c>
      <c r="I306" s="306" t="s">
        <v>22</v>
      </c>
      <c r="J306" s="306" t="s">
        <v>22</v>
      </c>
      <c r="K306" s="306" t="s">
        <v>19</v>
      </c>
      <c r="L306" s="306" t="s">
        <v>27</v>
      </c>
      <c r="M306" s="308">
        <v>4</v>
      </c>
      <c r="N306" s="318" t="s">
        <v>271</v>
      </c>
      <c r="O306" s="81"/>
      <c r="P306" s="81">
        <f>'LRA SP2D'!O307</f>
        <v>0</v>
      </c>
      <c r="Q306" s="81"/>
      <c r="R306" s="81">
        <f t="shared" si="93"/>
        <v>0</v>
      </c>
      <c r="S306" s="81"/>
      <c r="T306" s="81"/>
      <c r="U306" s="81"/>
      <c r="V306" s="81"/>
      <c r="W306" s="81">
        <f t="shared" ref="W306:W308" si="106">SUM(T306:V306)</f>
        <v>0</v>
      </c>
      <c r="X306" s="161">
        <f t="shared" si="100"/>
        <v>0</v>
      </c>
      <c r="Y306" s="161">
        <f t="shared" si="104"/>
        <v>0</v>
      </c>
      <c r="Z306" s="161">
        <f t="shared" si="101"/>
        <v>0</v>
      </c>
      <c r="AA306" s="199">
        <v>0</v>
      </c>
      <c r="AB306" s="3"/>
      <c r="AC306" s="3"/>
      <c r="AD306" s="3"/>
      <c r="AE306" s="3"/>
    </row>
    <row r="307" spans="1:31" ht="53.25" customHeight="1">
      <c r="A307" s="384">
        <v>7</v>
      </c>
      <c r="B307" s="385" t="s">
        <v>19</v>
      </c>
      <c r="C307" s="385" t="s">
        <v>32</v>
      </c>
      <c r="D307" s="307">
        <v>2</v>
      </c>
      <c r="E307" s="306" t="s">
        <v>19</v>
      </c>
      <c r="F307" s="306" t="s">
        <v>54</v>
      </c>
      <c r="G307" s="307">
        <v>5</v>
      </c>
      <c r="H307" s="307">
        <v>1</v>
      </c>
      <c r="I307" s="306" t="s">
        <v>22</v>
      </c>
      <c r="J307" s="306" t="s">
        <v>22</v>
      </c>
      <c r="K307" s="306" t="s">
        <v>19</v>
      </c>
      <c r="L307" s="306" t="s">
        <v>27</v>
      </c>
      <c r="M307" s="308">
        <v>6</v>
      </c>
      <c r="N307" s="318" t="s">
        <v>291</v>
      </c>
      <c r="O307" s="81"/>
      <c r="P307" s="81">
        <f>'LRA SP2D'!O308</f>
        <v>17600000</v>
      </c>
      <c r="Q307" s="81"/>
      <c r="R307" s="81">
        <f t="shared" si="93"/>
        <v>17600000</v>
      </c>
      <c r="S307" s="81">
        <f>'LRA SP2D'!R308</f>
        <v>8000000</v>
      </c>
      <c r="T307" s="81"/>
      <c r="U307" s="81">
        <f>S307</f>
        <v>8000000</v>
      </c>
      <c r="V307" s="81"/>
      <c r="W307" s="81">
        <f t="shared" si="106"/>
        <v>8000000</v>
      </c>
      <c r="X307" s="161">
        <f t="shared" si="100"/>
        <v>9600000</v>
      </c>
      <c r="Y307" s="161"/>
      <c r="Z307" s="161"/>
      <c r="AA307" s="199">
        <v>0</v>
      </c>
      <c r="AB307" s="3"/>
      <c r="AC307" s="3"/>
      <c r="AD307" s="3"/>
      <c r="AE307" s="3"/>
    </row>
    <row r="308" spans="1:31" ht="53.25" customHeight="1">
      <c r="A308" s="384">
        <v>7</v>
      </c>
      <c r="B308" s="385" t="s">
        <v>19</v>
      </c>
      <c r="C308" s="385" t="s">
        <v>32</v>
      </c>
      <c r="D308" s="307">
        <v>2</v>
      </c>
      <c r="E308" s="306" t="s">
        <v>19</v>
      </c>
      <c r="F308" s="306" t="s">
        <v>54</v>
      </c>
      <c r="G308" s="307">
        <v>5</v>
      </c>
      <c r="H308" s="307">
        <v>1</v>
      </c>
      <c r="I308" s="306" t="s">
        <v>22</v>
      </c>
      <c r="J308" s="306" t="s">
        <v>22</v>
      </c>
      <c r="K308" s="306" t="s">
        <v>19</v>
      </c>
      <c r="L308" s="306" t="s">
        <v>56</v>
      </c>
      <c r="M308" s="308">
        <v>9</v>
      </c>
      <c r="N308" s="318" t="s">
        <v>283</v>
      </c>
      <c r="O308" s="81"/>
      <c r="P308" s="81">
        <f>'LRA SP2D'!O309</f>
        <v>6000000</v>
      </c>
      <c r="Q308" s="81"/>
      <c r="R308" s="81">
        <f t="shared" si="93"/>
        <v>6000000</v>
      </c>
      <c r="S308" s="81">
        <f>U308</f>
        <v>6000000</v>
      </c>
      <c r="T308" s="81"/>
      <c r="U308" s="81">
        <f>'LRA SP2D'!U309</f>
        <v>6000000</v>
      </c>
      <c r="V308" s="81"/>
      <c r="W308" s="81">
        <f t="shared" si="106"/>
        <v>6000000</v>
      </c>
      <c r="X308" s="161">
        <f t="shared" si="100"/>
        <v>0</v>
      </c>
      <c r="Y308" s="161"/>
      <c r="Z308" s="161"/>
      <c r="AA308" s="199">
        <v>0</v>
      </c>
      <c r="AB308" s="3"/>
      <c r="AC308" s="3"/>
      <c r="AD308" s="3"/>
      <c r="AE308" s="3"/>
    </row>
    <row r="309" spans="1:31" ht="33" customHeight="1">
      <c r="A309" s="384">
        <v>7</v>
      </c>
      <c r="B309" s="385" t="s">
        <v>19</v>
      </c>
      <c r="C309" s="385" t="s">
        <v>32</v>
      </c>
      <c r="D309" s="307">
        <v>2</v>
      </c>
      <c r="E309" s="306" t="s">
        <v>19</v>
      </c>
      <c r="F309" s="306" t="s">
        <v>54</v>
      </c>
      <c r="G309" s="307">
        <v>5</v>
      </c>
      <c r="H309" s="307">
        <v>1</v>
      </c>
      <c r="I309" s="306" t="s">
        <v>22</v>
      </c>
      <c r="J309" s="306" t="s">
        <v>22</v>
      </c>
      <c r="K309" s="306" t="s">
        <v>19</v>
      </c>
      <c r="L309" s="306" t="s">
        <v>52</v>
      </c>
      <c r="M309" s="308">
        <v>7</v>
      </c>
      <c r="N309" s="318" t="s">
        <v>268</v>
      </c>
      <c r="O309" s="81"/>
      <c r="P309" s="81">
        <f>'LRA SP2D'!O310</f>
        <v>22500000</v>
      </c>
      <c r="Q309" s="81"/>
      <c r="R309" s="81">
        <f t="shared" si="93"/>
        <v>22500000</v>
      </c>
      <c r="S309" s="81">
        <f>U309</f>
        <v>19500000</v>
      </c>
      <c r="T309" s="81"/>
      <c r="U309" s="81">
        <f>'LRA SP2D'!U310</f>
        <v>19500000</v>
      </c>
      <c r="V309" s="81"/>
      <c r="W309" s="81">
        <f t="shared" ref="W309:W315" si="107">SUM(T309:V309)</f>
        <v>19500000</v>
      </c>
      <c r="X309" s="161">
        <f t="shared" si="100"/>
        <v>3000000</v>
      </c>
      <c r="Y309" s="161">
        <f t="shared" si="104"/>
        <v>0</v>
      </c>
      <c r="Z309" s="161">
        <f t="shared" si="101"/>
        <v>0</v>
      </c>
      <c r="AA309" s="199">
        <f t="shared" si="102"/>
        <v>0.8666666666666667</v>
      </c>
      <c r="AB309" s="3"/>
      <c r="AC309" s="3"/>
      <c r="AD309" s="3"/>
      <c r="AE309" s="3"/>
    </row>
    <row r="310" spans="1:31" ht="33" customHeight="1">
      <c r="A310" s="379">
        <v>7</v>
      </c>
      <c r="B310" s="380" t="s">
        <v>19</v>
      </c>
      <c r="C310" s="380" t="s">
        <v>32</v>
      </c>
      <c r="D310" s="289">
        <v>2</v>
      </c>
      <c r="E310" s="302" t="s">
        <v>19</v>
      </c>
      <c r="F310" s="302" t="s">
        <v>54</v>
      </c>
      <c r="G310" s="289">
        <v>5</v>
      </c>
      <c r="H310" s="289">
        <v>1</v>
      </c>
      <c r="I310" s="302" t="s">
        <v>22</v>
      </c>
      <c r="J310" s="302" t="s">
        <v>54</v>
      </c>
      <c r="K310" s="302"/>
      <c r="L310" s="302"/>
      <c r="M310" s="290"/>
      <c r="N310" s="316" t="s">
        <v>68</v>
      </c>
      <c r="O310" s="81"/>
      <c r="P310" s="82">
        <f>P311</f>
        <v>40500000</v>
      </c>
      <c r="Q310" s="82"/>
      <c r="R310" s="82">
        <f>O310+P310+Q310</f>
        <v>40500000</v>
      </c>
      <c r="S310" s="82">
        <f>S311</f>
        <v>38400000</v>
      </c>
      <c r="T310" s="82">
        <f>T311</f>
        <v>0</v>
      </c>
      <c r="U310" s="82">
        <f t="shared" ref="U310:V311" si="108">U311</f>
        <v>38400000</v>
      </c>
      <c r="V310" s="82">
        <f t="shared" si="108"/>
        <v>0</v>
      </c>
      <c r="W310" s="82">
        <f t="shared" si="107"/>
        <v>38400000</v>
      </c>
      <c r="X310" s="170">
        <f t="shared" si="100"/>
        <v>2100000</v>
      </c>
      <c r="Y310" s="170">
        <f t="shared" si="104"/>
        <v>0</v>
      </c>
      <c r="Z310" s="170">
        <f t="shared" si="101"/>
        <v>0</v>
      </c>
      <c r="AA310" s="196">
        <f t="shared" si="102"/>
        <v>0.94814814814814818</v>
      </c>
      <c r="AB310" s="3"/>
      <c r="AC310" s="3"/>
      <c r="AD310" s="3"/>
      <c r="AE310" s="3"/>
    </row>
    <row r="311" spans="1:31" ht="33" customHeight="1">
      <c r="A311" s="379">
        <v>7</v>
      </c>
      <c r="B311" s="380" t="s">
        <v>19</v>
      </c>
      <c r="C311" s="380" t="s">
        <v>32</v>
      </c>
      <c r="D311" s="289">
        <v>2</v>
      </c>
      <c r="E311" s="302" t="s">
        <v>19</v>
      </c>
      <c r="F311" s="302" t="s">
        <v>54</v>
      </c>
      <c r="G311" s="289">
        <v>5</v>
      </c>
      <c r="H311" s="289">
        <v>1</v>
      </c>
      <c r="I311" s="302" t="s">
        <v>22</v>
      </c>
      <c r="J311" s="302" t="s">
        <v>54</v>
      </c>
      <c r="K311" s="302" t="s">
        <v>19</v>
      </c>
      <c r="L311" s="302"/>
      <c r="M311" s="290"/>
      <c r="N311" s="410" t="s">
        <v>69</v>
      </c>
      <c r="O311" s="81"/>
      <c r="P311" s="82">
        <f>P312</f>
        <v>40500000</v>
      </c>
      <c r="Q311" s="82"/>
      <c r="R311" s="82">
        <f t="shared" si="93"/>
        <v>40500000</v>
      </c>
      <c r="S311" s="82">
        <f>S312</f>
        <v>38400000</v>
      </c>
      <c r="T311" s="82">
        <f>T312</f>
        <v>0</v>
      </c>
      <c r="U311" s="82">
        <f t="shared" si="108"/>
        <v>38400000</v>
      </c>
      <c r="V311" s="82">
        <f t="shared" si="108"/>
        <v>0</v>
      </c>
      <c r="W311" s="82">
        <f t="shared" si="107"/>
        <v>38400000</v>
      </c>
      <c r="X311" s="170">
        <f t="shared" si="100"/>
        <v>2100000</v>
      </c>
      <c r="Y311" s="170">
        <f t="shared" si="104"/>
        <v>0</v>
      </c>
      <c r="Z311" s="170">
        <f t="shared" si="101"/>
        <v>0</v>
      </c>
      <c r="AA311" s="196">
        <f t="shared" si="102"/>
        <v>0.94814814814814818</v>
      </c>
      <c r="AB311" s="3"/>
      <c r="AC311" s="3"/>
      <c r="AD311" s="3"/>
      <c r="AE311" s="3"/>
    </row>
    <row r="312" spans="1:31" ht="33" customHeight="1">
      <c r="A312" s="476">
        <v>7</v>
      </c>
      <c r="B312" s="477" t="s">
        <v>19</v>
      </c>
      <c r="C312" s="477" t="s">
        <v>32</v>
      </c>
      <c r="D312" s="398">
        <v>2</v>
      </c>
      <c r="E312" s="400" t="s">
        <v>19</v>
      </c>
      <c r="F312" s="400" t="s">
        <v>54</v>
      </c>
      <c r="G312" s="398">
        <v>5</v>
      </c>
      <c r="H312" s="398">
        <v>1</v>
      </c>
      <c r="I312" s="400" t="s">
        <v>22</v>
      </c>
      <c r="J312" s="400" t="s">
        <v>54</v>
      </c>
      <c r="K312" s="400" t="s">
        <v>19</v>
      </c>
      <c r="L312" s="400" t="s">
        <v>27</v>
      </c>
      <c r="M312" s="399">
        <v>3</v>
      </c>
      <c r="N312" s="483" t="s">
        <v>144</v>
      </c>
      <c r="O312" s="81"/>
      <c r="P312" s="81">
        <f>'LRA SP2D'!O313</f>
        <v>40500000</v>
      </c>
      <c r="Q312" s="81"/>
      <c r="R312" s="81">
        <f t="shared" si="93"/>
        <v>40500000</v>
      </c>
      <c r="S312" s="81">
        <f>'LRA SP2D'!R313</f>
        <v>38400000</v>
      </c>
      <c r="T312" s="81"/>
      <c r="U312" s="81">
        <f>'LRA SP2D'!U313</f>
        <v>38400000</v>
      </c>
      <c r="V312" s="81"/>
      <c r="W312" s="81">
        <f t="shared" si="107"/>
        <v>38400000</v>
      </c>
      <c r="X312" s="161">
        <f t="shared" si="100"/>
        <v>2100000</v>
      </c>
      <c r="Y312" s="161">
        <f t="shared" si="104"/>
        <v>0</v>
      </c>
      <c r="Z312" s="161">
        <f t="shared" si="101"/>
        <v>0</v>
      </c>
      <c r="AA312" s="199">
        <f t="shared" si="102"/>
        <v>0.94814814814814818</v>
      </c>
      <c r="AB312" s="3"/>
      <c r="AC312" s="3"/>
      <c r="AD312" s="3"/>
      <c r="AE312" s="3"/>
    </row>
    <row r="313" spans="1:31" ht="70.5" customHeight="1">
      <c r="A313" s="379">
        <v>7</v>
      </c>
      <c r="B313" s="380" t="s">
        <v>19</v>
      </c>
      <c r="C313" s="380" t="s">
        <v>32</v>
      </c>
      <c r="D313" s="289">
        <v>2</v>
      </c>
      <c r="E313" s="302" t="s">
        <v>19</v>
      </c>
      <c r="F313" s="302" t="s">
        <v>54</v>
      </c>
      <c r="G313" s="289">
        <v>5</v>
      </c>
      <c r="H313" s="289">
        <v>1</v>
      </c>
      <c r="I313" s="302" t="s">
        <v>22</v>
      </c>
      <c r="J313" s="302" t="s">
        <v>32</v>
      </c>
      <c r="K313" s="302"/>
      <c r="L313" s="302"/>
      <c r="M313" s="290"/>
      <c r="N313" s="316" t="s">
        <v>118</v>
      </c>
      <c r="O313" s="82"/>
      <c r="P313" s="82">
        <f>P314</f>
        <v>49200000</v>
      </c>
      <c r="Q313" s="82"/>
      <c r="R313" s="82">
        <f t="shared" si="93"/>
        <v>49200000</v>
      </c>
      <c r="S313" s="82">
        <f>S314</f>
        <v>49200000</v>
      </c>
      <c r="T313" s="82">
        <f>T314</f>
        <v>0</v>
      </c>
      <c r="U313" s="82">
        <f t="shared" ref="U313:V314" si="109">U314</f>
        <v>49200000</v>
      </c>
      <c r="V313" s="82">
        <f t="shared" si="109"/>
        <v>0</v>
      </c>
      <c r="W313" s="82">
        <f t="shared" si="107"/>
        <v>49200000</v>
      </c>
      <c r="X313" s="170">
        <f t="shared" si="100"/>
        <v>0</v>
      </c>
      <c r="Y313" s="170">
        <f t="shared" si="104"/>
        <v>0</v>
      </c>
      <c r="Z313" s="170">
        <f t="shared" si="101"/>
        <v>0</v>
      </c>
      <c r="AA313" s="196">
        <f t="shared" si="102"/>
        <v>1</v>
      </c>
      <c r="AB313" s="3"/>
      <c r="AC313" s="3"/>
      <c r="AD313" s="3"/>
      <c r="AE313" s="3"/>
    </row>
    <row r="314" spans="1:31" ht="57" customHeight="1">
      <c r="A314" s="379">
        <v>7</v>
      </c>
      <c r="B314" s="380" t="s">
        <v>19</v>
      </c>
      <c r="C314" s="380" t="s">
        <v>32</v>
      </c>
      <c r="D314" s="289">
        <v>2</v>
      </c>
      <c r="E314" s="302" t="s">
        <v>19</v>
      </c>
      <c r="F314" s="302" t="s">
        <v>54</v>
      </c>
      <c r="G314" s="289">
        <v>5</v>
      </c>
      <c r="H314" s="289">
        <v>1</v>
      </c>
      <c r="I314" s="302" t="s">
        <v>22</v>
      </c>
      <c r="J314" s="302" t="s">
        <v>32</v>
      </c>
      <c r="K314" s="302" t="s">
        <v>19</v>
      </c>
      <c r="L314" s="302"/>
      <c r="M314" s="290"/>
      <c r="N314" s="316" t="s">
        <v>119</v>
      </c>
      <c r="O314" s="82"/>
      <c r="P314" s="82">
        <f>P315</f>
        <v>49200000</v>
      </c>
      <c r="Q314" s="82"/>
      <c r="R314" s="82">
        <f t="shared" si="93"/>
        <v>49200000</v>
      </c>
      <c r="S314" s="82">
        <f>S315</f>
        <v>49200000</v>
      </c>
      <c r="T314" s="82">
        <f>T315</f>
        <v>0</v>
      </c>
      <c r="U314" s="82">
        <f t="shared" si="109"/>
        <v>49200000</v>
      </c>
      <c r="V314" s="82">
        <f t="shared" si="109"/>
        <v>0</v>
      </c>
      <c r="W314" s="82">
        <f t="shared" si="107"/>
        <v>49200000</v>
      </c>
      <c r="X314" s="170">
        <f t="shared" si="100"/>
        <v>0</v>
      </c>
      <c r="Y314" s="170">
        <f t="shared" si="104"/>
        <v>0</v>
      </c>
      <c r="Z314" s="170">
        <f t="shared" si="101"/>
        <v>0</v>
      </c>
      <c r="AA314" s="196">
        <f t="shared" si="102"/>
        <v>1</v>
      </c>
      <c r="AB314" s="3"/>
      <c r="AC314" s="3"/>
      <c r="AD314" s="3"/>
      <c r="AE314" s="3"/>
    </row>
    <row r="315" spans="1:31" ht="33" customHeight="1">
      <c r="A315" s="384">
        <v>7</v>
      </c>
      <c r="B315" s="385" t="s">
        <v>19</v>
      </c>
      <c r="C315" s="385" t="s">
        <v>32</v>
      </c>
      <c r="D315" s="307">
        <v>2</v>
      </c>
      <c r="E315" s="306" t="s">
        <v>19</v>
      </c>
      <c r="F315" s="306" t="s">
        <v>54</v>
      </c>
      <c r="G315" s="307">
        <v>5</v>
      </c>
      <c r="H315" s="307">
        <v>1</v>
      </c>
      <c r="I315" s="306" t="s">
        <v>22</v>
      </c>
      <c r="J315" s="306" t="s">
        <v>32</v>
      </c>
      <c r="K315" s="306" t="s">
        <v>19</v>
      </c>
      <c r="L315" s="306" t="s">
        <v>27</v>
      </c>
      <c r="M315" s="308">
        <v>1</v>
      </c>
      <c r="N315" s="407" t="s">
        <v>272</v>
      </c>
      <c r="O315" s="81"/>
      <c r="P315" s="81">
        <f>'LRA SP2D'!O316</f>
        <v>49200000</v>
      </c>
      <c r="Q315" s="81"/>
      <c r="R315" s="81">
        <f t="shared" si="93"/>
        <v>49200000</v>
      </c>
      <c r="S315" s="81">
        <f>U315</f>
        <v>49200000</v>
      </c>
      <c r="T315" s="81"/>
      <c r="U315" s="81">
        <f>'LRA SP2D'!U316</f>
        <v>49200000</v>
      </c>
      <c r="V315" s="81"/>
      <c r="W315" s="81">
        <f t="shared" si="107"/>
        <v>49200000</v>
      </c>
      <c r="X315" s="161">
        <f t="shared" si="100"/>
        <v>0</v>
      </c>
      <c r="Y315" s="161">
        <f t="shared" si="104"/>
        <v>0</v>
      </c>
      <c r="Z315" s="161">
        <f t="shared" si="101"/>
        <v>0</v>
      </c>
      <c r="AA315" s="199">
        <f t="shared" si="102"/>
        <v>1</v>
      </c>
      <c r="AB315" s="3"/>
      <c r="AC315" s="3"/>
      <c r="AD315" s="3"/>
      <c r="AE315" s="3"/>
    </row>
    <row r="316" spans="1:31" ht="16.3">
      <c r="A316" s="65"/>
      <c r="B316" s="66"/>
      <c r="C316" s="66"/>
      <c r="D316" s="12"/>
      <c r="E316" s="12"/>
      <c r="F316" s="12"/>
      <c r="G316" s="12"/>
      <c r="H316" s="12"/>
      <c r="I316" s="12"/>
      <c r="J316" s="12"/>
      <c r="K316" s="12"/>
      <c r="L316" s="16"/>
      <c r="M316" s="33"/>
      <c r="N316" s="129"/>
      <c r="O316" s="81"/>
      <c r="P316" s="81"/>
      <c r="Q316" s="81"/>
      <c r="R316" s="81">
        <f t="shared" si="93"/>
        <v>0</v>
      </c>
      <c r="S316" s="34"/>
      <c r="T316" s="81"/>
      <c r="U316" s="81"/>
      <c r="V316" s="81"/>
      <c r="W316" s="81"/>
      <c r="X316" s="161"/>
      <c r="Y316" s="161"/>
      <c r="Z316" s="161"/>
      <c r="AA316" s="199"/>
      <c r="AB316" s="3"/>
      <c r="AC316" s="3"/>
      <c r="AD316" s="3"/>
      <c r="AE316" s="3"/>
    </row>
    <row r="317" spans="1:31" ht="37.5" customHeight="1">
      <c r="A317" s="62">
        <v>7</v>
      </c>
      <c r="B317" s="111" t="s">
        <v>19</v>
      </c>
      <c r="C317" s="111" t="s">
        <v>32</v>
      </c>
      <c r="D317" s="14">
        <v>2</v>
      </c>
      <c r="E317" s="103" t="s">
        <v>19</v>
      </c>
      <c r="F317" s="103" t="s">
        <v>38</v>
      </c>
      <c r="G317" s="89"/>
      <c r="H317" s="89"/>
      <c r="I317" s="89"/>
      <c r="J317" s="89"/>
      <c r="K317" s="89"/>
      <c r="L317" s="89"/>
      <c r="M317" s="93"/>
      <c r="N317" s="41" t="s">
        <v>151</v>
      </c>
      <c r="O317" s="165"/>
      <c r="P317" s="165">
        <f>P318</f>
        <v>61360000</v>
      </c>
      <c r="Q317" s="165"/>
      <c r="R317" s="165">
        <f t="shared" si="93"/>
        <v>61360000</v>
      </c>
      <c r="S317" s="168">
        <f>S318</f>
        <v>23483175</v>
      </c>
      <c r="T317" s="165"/>
      <c r="U317" s="165">
        <f>U318</f>
        <v>42475175</v>
      </c>
      <c r="V317" s="165"/>
      <c r="W317" s="165">
        <f t="shared" si="94"/>
        <v>42475175</v>
      </c>
      <c r="X317" s="168">
        <f t="shared" si="95"/>
        <v>18884825</v>
      </c>
      <c r="Y317" s="168"/>
      <c r="Z317" s="168">
        <f t="shared" si="96"/>
        <v>-18992000</v>
      </c>
      <c r="AA317" s="198">
        <f t="shared" si="97"/>
        <v>0.69222905801825296</v>
      </c>
      <c r="AB317" s="3"/>
      <c r="AC317" s="3"/>
      <c r="AD317" s="3"/>
      <c r="AE317" s="3"/>
    </row>
    <row r="318" spans="1:31" ht="30" customHeight="1">
      <c r="A318" s="65">
        <v>7</v>
      </c>
      <c r="B318" s="113" t="s">
        <v>19</v>
      </c>
      <c r="C318" s="113" t="s">
        <v>32</v>
      </c>
      <c r="D318" s="12">
        <v>2</v>
      </c>
      <c r="E318" s="104" t="s">
        <v>19</v>
      </c>
      <c r="F318" s="104" t="s">
        <v>38</v>
      </c>
      <c r="G318" s="12">
        <v>5</v>
      </c>
      <c r="H318" s="12">
        <v>1</v>
      </c>
      <c r="I318" s="104" t="s">
        <v>22</v>
      </c>
      <c r="J318" s="12"/>
      <c r="K318" s="12"/>
      <c r="L318" s="16"/>
      <c r="M318" s="33"/>
      <c r="N318" s="129" t="s">
        <v>123</v>
      </c>
      <c r="O318" s="82"/>
      <c r="P318" s="82">
        <f>P319+P327+P332+P334+P337</f>
        <v>61360000</v>
      </c>
      <c r="Q318" s="82"/>
      <c r="R318" s="82">
        <f>O318+P318+Q318</f>
        <v>61360000</v>
      </c>
      <c r="S318" s="170">
        <f>S319+S327+S334+S337</f>
        <v>23483175</v>
      </c>
      <c r="T318" s="170">
        <f t="shared" ref="T318:U318" si="110">T319+T327+T334+T337</f>
        <v>0</v>
      </c>
      <c r="U318" s="170">
        <f t="shared" si="110"/>
        <v>42475175</v>
      </c>
      <c r="V318" s="82"/>
      <c r="W318" s="82">
        <f t="shared" si="94"/>
        <v>42475175</v>
      </c>
      <c r="X318" s="170">
        <f t="shared" si="95"/>
        <v>18884825</v>
      </c>
      <c r="Y318" s="170"/>
      <c r="Z318" s="170">
        <f t="shared" si="96"/>
        <v>-18992000</v>
      </c>
      <c r="AA318" s="196">
        <f t="shared" si="97"/>
        <v>0.69222905801825296</v>
      </c>
      <c r="AB318" s="3"/>
      <c r="AC318" s="3"/>
      <c r="AD318" s="3"/>
      <c r="AE318" s="3"/>
    </row>
    <row r="319" spans="1:31" ht="30" customHeight="1">
      <c r="A319" s="65">
        <v>7</v>
      </c>
      <c r="B319" s="113" t="s">
        <v>19</v>
      </c>
      <c r="C319" s="113" t="s">
        <v>32</v>
      </c>
      <c r="D319" s="12">
        <v>2</v>
      </c>
      <c r="E319" s="104" t="s">
        <v>19</v>
      </c>
      <c r="F319" s="104" t="s">
        <v>38</v>
      </c>
      <c r="G319" s="12">
        <v>5</v>
      </c>
      <c r="H319" s="12">
        <v>1</v>
      </c>
      <c r="I319" s="104" t="s">
        <v>22</v>
      </c>
      <c r="J319" s="104" t="s">
        <v>19</v>
      </c>
      <c r="K319" s="12"/>
      <c r="L319" s="16"/>
      <c r="M319" s="33"/>
      <c r="N319" s="129" t="s">
        <v>65</v>
      </c>
      <c r="O319" s="82"/>
      <c r="P319" s="82">
        <f>P320</f>
        <v>20415000</v>
      </c>
      <c r="Q319" s="82"/>
      <c r="R319" s="82">
        <f t="shared" si="93"/>
        <v>20415000</v>
      </c>
      <c r="S319" s="170">
        <f>S320</f>
        <v>9293175</v>
      </c>
      <c r="T319" s="82"/>
      <c r="U319" s="82">
        <f>U320</f>
        <v>14355175</v>
      </c>
      <c r="V319" s="82"/>
      <c r="W319" s="82">
        <f t="shared" si="94"/>
        <v>14355175</v>
      </c>
      <c r="X319" s="170">
        <f t="shared" si="95"/>
        <v>6059825</v>
      </c>
      <c r="Y319" s="170"/>
      <c r="Z319" s="170">
        <f t="shared" si="96"/>
        <v>-5062000</v>
      </c>
      <c r="AA319" s="196">
        <f t="shared" si="97"/>
        <v>0.70316801371540538</v>
      </c>
      <c r="AB319" s="3"/>
      <c r="AC319" s="3"/>
      <c r="AD319" s="3"/>
      <c r="AE319" s="3"/>
    </row>
    <row r="320" spans="1:31" ht="30" customHeight="1">
      <c r="A320" s="65">
        <v>7</v>
      </c>
      <c r="B320" s="113" t="s">
        <v>19</v>
      </c>
      <c r="C320" s="113" t="s">
        <v>32</v>
      </c>
      <c r="D320" s="12">
        <v>2</v>
      </c>
      <c r="E320" s="104" t="s">
        <v>19</v>
      </c>
      <c r="F320" s="104" t="s">
        <v>38</v>
      </c>
      <c r="G320" s="12">
        <v>5</v>
      </c>
      <c r="H320" s="12">
        <v>1</v>
      </c>
      <c r="I320" s="104" t="s">
        <v>22</v>
      </c>
      <c r="J320" s="104" t="s">
        <v>19</v>
      </c>
      <c r="K320" s="104" t="s">
        <v>19</v>
      </c>
      <c r="L320" s="16"/>
      <c r="M320" s="33"/>
      <c r="N320" s="129" t="s">
        <v>51</v>
      </c>
      <c r="O320" s="82"/>
      <c r="P320" s="82">
        <f>SUM(P321:P326)</f>
        <v>20415000</v>
      </c>
      <c r="Q320" s="82"/>
      <c r="R320" s="82">
        <f t="shared" si="93"/>
        <v>20415000</v>
      </c>
      <c r="S320" s="170">
        <f>SUM(S321:S326)</f>
        <v>9293175</v>
      </c>
      <c r="T320" s="170">
        <f t="shared" ref="T320:V320" si="111">SUM(T321:T326)</f>
        <v>0</v>
      </c>
      <c r="U320" s="170">
        <f>SUM(U321:U326)</f>
        <v>14355175</v>
      </c>
      <c r="V320" s="170">
        <f t="shared" si="111"/>
        <v>0</v>
      </c>
      <c r="W320" s="82">
        <f t="shared" si="94"/>
        <v>14355175</v>
      </c>
      <c r="X320" s="170">
        <f t="shared" si="95"/>
        <v>6059825</v>
      </c>
      <c r="Y320" s="170"/>
      <c r="Z320" s="170">
        <f t="shared" si="96"/>
        <v>-5062000</v>
      </c>
      <c r="AA320" s="196">
        <f t="shared" si="97"/>
        <v>0.70316801371540538</v>
      </c>
      <c r="AB320" s="3"/>
      <c r="AC320" s="3"/>
      <c r="AD320" s="3"/>
      <c r="AE320" s="3"/>
    </row>
    <row r="321" spans="1:31" ht="42" customHeight="1">
      <c r="A321" s="384">
        <v>7</v>
      </c>
      <c r="B321" s="385" t="s">
        <v>19</v>
      </c>
      <c r="C321" s="394" t="s">
        <v>148</v>
      </c>
      <c r="D321" s="307">
        <v>2</v>
      </c>
      <c r="E321" s="306" t="s">
        <v>19</v>
      </c>
      <c r="F321" s="306" t="s">
        <v>38</v>
      </c>
      <c r="G321" s="307">
        <v>5</v>
      </c>
      <c r="H321" s="307">
        <v>1</v>
      </c>
      <c r="I321" s="306" t="s">
        <v>22</v>
      </c>
      <c r="J321" s="306" t="s">
        <v>19</v>
      </c>
      <c r="K321" s="306" t="s">
        <v>19</v>
      </c>
      <c r="L321" s="306" t="s">
        <v>56</v>
      </c>
      <c r="M321" s="308">
        <v>4</v>
      </c>
      <c r="N321" s="318" t="s">
        <v>273</v>
      </c>
      <c r="O321" s="81"/>
      <c r="P321" s="81">
        <f>'LRA SP2D'!O322</f>
        <v>0</v>
      </c>
      <c r="Q321" s="81"/>
      <c r="R321" s="81">
        <f t="shared" si="93"/>
        <v>0</v>
      </c>
      <c r="S321" s="34"/>
      <c r="T321" s="81"/>
      <c r="U321" s="81"/>
      <c r="V321" s="81"/>
      <c r="W321" s="81">
        <f t="shared" si="94"/>
        <v>0</v>
      </c>
      <c r="X321" s="161">
        <f t="shared" si="95"/>
        <v>0</v>
      </c>
      <c r="Y321" s="161"/>
      <c r="Z321" s="161">
        <f t="shared" si="96"/>
        <v>0</v>
      </c>
      <c r="AA321" s="199">
        <v>0</v>
      </c>
      <c r="AB321" s="3"/>
      <c r="AC321" s="3"/>
      <c r="AD321" s="3"/>
      <c r="AE321" s="3"/>
    </row>
    <row r="322" spans="1:31" ht="45" customHeight="1">
      <c r="A322" s="384">
        <v>7</v>
      </c>
      <c r="B322" s="385" t="s">
        <v>19</v>
      </c>
      <c r="C322" s="394" t="s">
        <v>148</v>
      </c>
      <c r="D322" s="307">
        <v>2</v>
      </c>
      <c r="E322" s="306" t="s">
        <v>19</v>
      </c>
      <c r="F322" s="306" t="s">
        <v>38</v>
      </c>
      <c r="G322" s="307">
        <v>5</v>
      </c>
      <c r="H322" s="307">
        <v>1</v>
      </c>
      <c r="I322" s="306" t="s">
        <v>22</v>
      </c>
      <c r="J322" s="306" t="s">
        <v>19</v>
      </c>
      <c r="K322" s="306" t="s">
        <v>19</v>
      </c>
      <c r="L322" s="306" t="s">
        <v>56</v>
      </c>
      <c r="M322" s="308">
        <v>5</v>
      </c>
      <c r="N322" s="318" t="s">
        <v>133</v>
      </c>
      <c r="O322" s="81"/>
      <c r="P322" s="81">
        <f>'LRA SP2D'!O323</f>
        <v>0</v>
      </c>
      <c r="Q322" s="81"/>
      <c r="R322" s="81">
        <f t="shared" si="93"/>
        <v>0</v>
      </c>
      <c r="S322" s="81">
        <f>'LRA SP2D'!R323</f>
        <v>0</v>
      </c>
      <c r="T322" s="81"/>
      <c r="U322" s="81">
        <f>'LRA SP2D'!U323</f>
        <v>0</v>
      </c>
      <c r="V322" s="81"/>
      <c r="W322" s="81">
        <f t="shared" si="94"/>
        <v>0</v>
      </c>
      <c r="X322" s="161">
        <f t="shared" si="95"/>
        <v>0</v>
      </c>
      <c r="Y322" s="161"/>
      <c r="Z322" s="161">
        <f t="shared" si="96"/>
        <v>0</v>
      </c>
      <c r="AA322" s="199">
        <v>0</v>
      </c>
      <c r="AB322" s="3"/>
      <c r="AC322" s="3"/>
      <c r="AD322" s="3"/>
      <c r="AE322" s="3"/>
    </row>
    <row r="323" spans="1:31" ht="38.25" customHeight="1">
      <c r="A323" s="67">
        <v>7</v>
      </c>
      <c r="B323" s="114" t="s">
        <v>19</v>
      </c>
      <c r="C323" s="68" t="s">
        <v>148</v>
      </c>
      <c r="D323" s="16">
        <v>2</v>
      </c>
      <c r="E323" s="105" t="s">
        <v>19</v>
      </c>
      <c r="F323" s="105" t="s">
        <v>38</v>
      </c>
      <c r="G323" s="16">
        <v>5</v>
      </c>
      <c r="H323" s="16">
        <v>1</v>
      </c>
      <c r="I323" s="105" t="s">
        <v>22</v>
      </c>
      <c r="J323" s="105" t="s">
        <v>19</v>
      </c>
      <c r="K323" s="105" t="s">
        <v>19</v>
      </c>
      <c r="L323" s="105" t="s">
        <v>56</v>
      </c>
      <c r="M323" s="33">
        <v>6</v>
      </c>
      <c r="N323" s="39" t="s">
        <v>134</v>
      </c>
      <c r="O323" s="82"/>
      <c r="P323" s="81">
        <f>'LRA SP2D'!O324</f>
        <v>1305000</v>
      </c>
      <c r="Q323" s="82"/>
      <c r="R323" s="81">
        <f t="shared" si="93"/>
        <v>1305000</v>
      </c>
      <c r="S323" s="81">
        <f>'LRA SP2D'!R324</f>
        <v>400000</v>
      </c>
      <c r="T323" s="81"/>
      <c r="U323" s="81">
        <f>'LRA SP2D'!U324</f>
        <v>800000</v>
      </c>
      <c r="V323" s="81"/>
      <c r="W323" s="81">
        <f t="shared" si="94"/>
        <v>800000</v>
      </c>
      <c r="X323" s="161">
        <f t="shared" si="95"/>
        <v>505000</v>
      </c>
      <c r="Y323" s="161"/>
      <c r="Z323" s="161">
        <f t="shared" si="96"/>
        <v>-400000</v>
      </c>
      <c r="AA323" s="199">
        <f t="shared" si="97"/>
        <v>0.6130268199233716</v>
      </c>
      <c r="AB323" s="3"/>
      <c r="AC323" s="3"/>
      <c r="AD323" s="3"/>
      <c r="AE323" s="3"/>
    </row>
    <row r="324" spans="1:31" ht="48.75" customHeight="1">
      <c r="A324" s="384">
        <v>7</v>
      </c>
      <c r="B324" s="385" t="s">
        <v>19</v>
      </c>
      <c r="C324" s="394" t="s">
        <v>148</v>
      </c>
      <c r="D324" s="307">
        <v>2</v>
      </c>
      <c r="E324" s="306" t="s">
        <v>19</v>
      </c>
      <c r="F324" s="306" t="s">
        <v>38</v>
      </c>
      <c r="G324" s="307">
        <v>5</v>
      </c>
      <c r="H324" s="307">
        <v>1</v>
      </c>
      <c r="I324" s="306" t="s">
        <v>22</v>
      </c>
      <c r="J324" s="306" t="s">
        <v>19</v>
      </c>
      <c r="K324" s="306" t="s">
        <v>19</v>
      </c>
      <c r="L324" s="306" t="s">
        <v>56</v>
      </c>
      <c r="M324" s="308">
        <v>6</v>
      </c>
      <c r="N324" s="318" t="s">
        <v>274</v>
      </c>
      <c r="O324" s="82"/>
      <c r="P324" s="81">
        <f>'LRA SP2D'!O325</f>
        <v>2400000</v>
      </c>
      <c r="Q324" s="82"/>
      <c r="R324" s="81">
        <f t="shared" si="93"/>
        <v>2400000</v>
      </c>
      <c r="S324" s="81">
        <f>'LRA SP2D'!R325</f>
        <v>1500000</v>
      </c>
      <c r="T324" s="81" t="s">
        <v>284</v>
      </c>
      <c r="U324" s="81">
        <f>S324</f>
        <v>1500000</v>
      </c>
      <c r="V324" s="81"/>
      <c r="W324" s="81">
        <f>SUM(U324:V324)</f>
        <v>1500000</v>
      </c>
      <c r="X324" s="161">
        <f t="shared" si="95"/>
        <v>900000</v>
      </c>
      <c r="Y324" s="161"/>
      <c r="Z324" s="161">
        <f t="shared" si="96"/>
        <v>0</v>
      </c>
      <c r="AA324" s="199">
        <f t="shared" si="97"/>
        <v>0.625</v>
      </c>
      <c r="AB324" s="3"/>
      <c r="AC324" s="3"/>
      <c r="AD324" s="3"/>
      <c r="AE324" s="3"/>
    </row>
    <row r="325" spans="1:31" ht="30" customHeight="1">
      <c r="A325" s="384">
        <v>7</v>
      </c>
      <c r="B325" s="385" t="s">
        <v>19</v>
      </c>
      <c r="C325" s="385" t="s">
        <v>32</v>
      </c>
      <c r="D325" s="307">
        <v>2</v>
      </c>
      <c r="E325" s="306" t="s">
        <v>19</v>
      </c>
      <c r="F325" s="306" t="s">
        <v>38</v>
      </c>
      <c r="G325" s="307">
        <v>5</v>
      </c>
      <c r="H325" s="307">
        <v>1</v>
      </c>
      <c r="I325" s="306" t="s">
        <v>22</v>
      </c>
      <c r="J325" s="306" t="s">
        <v>19</v>
      </c>
      <c r="K325" s="306" t="s">
        <v>19</v>
      </c>
      <c r="L325" s="306" t="s">
        <v>66</v>
      </c>
      <c r="M325" s="417">
        <v>2</v>
      </c>
      <c r="N325" s="318" t="s">
        <v>67</v>
      </c>
      <c r="O325" s="82"/>
      <c r="P325" s="81">
        <f>'LRA SP2D'!O326</f>
        <v>1600000</v>
      </c>
      <c r="Q325" s="82"/>
      <c r="R325" s="81">
        <f t="shared" si="93"/>
        <v>1600000</v>
      </c>
      <c r="S325" s="82">
        <f>'LRA SP2D'!R326</f>
        <v>0</v>
      </c>
      <c r="T325" s="82"/>
      <c r="U325" s="82"/>
      <c r="V325" s="82"/>
      <c r="W325" s="81">
        <f t="shared" si="94"/>
        <v>0</v>
      </c>
      <c r="X325" s="161">
        <f t="shared" ref="X325:X339" si="112">R325-W325</f>
        <v>1600000</v>
      </c>
      <c r="Y325" s="161"/>
      <c r="Z325" s="161">
        <f t="shared" ref="Z325:Z339" si="113">S325-W325</f>
        <v>0</v>
      </c>
      <c r="AA325" s="199">
        <f t="shared" ref="AA325:AA339" si="114">W325/R325*100%</f>
        <v>0</v>
      </c>
      <c r="AB325" s="3"/>
      <c r="AC325" s="3"/>
      <c r="AD325" s="3"/>
      <c r="AE325" s="3"/>
    </row>
    <row r="326" spans="1:31" ht="30" customHeight="1">
      <c r="A326" s="67">
        <v>7</v>
      </c>
      <c r="B326" s="114" t="s">
        <v>19</v>
      </c>
      <c r="C326" s="114" t="s">
        <v>32</v>
      </c>
      <c r="D326" s="16">
        <v>2</v>
      </c>
      <c r="E326" s="105" t="s">
        <v>19</v>
      </c>
      <c r="F326" s="105" t="s">
        <v>38</v>
      </c>
      <c r="G326" s="16">
        <v>5</v>
      </c>
      <c r="H326" s="16">
        <v>1</v>
      </c>
      <c r="I326" s="105" t="s">
        <v>22</v>
      </c>
      <c r="J326" s="105" t="s">
        <v>19</v>
      </c>
      <c r="K326" s="105" t="s">
        <v>19</v>
      </c>
      <c r="L326" s="105" t="s">
        <v>66</v>
      </c>
      <c r="M326" s="91">
        <v>8</v>
      </c>
      <c r="N326" s="39" t="s">
        <v>127</v>
      </c>
      <c r="O326" s="82"/>
      <c r="P326" s="81">
        <f>'LRA SP2D'!O327</f>
        <v>15110000</v>
      </c>
      <c r="Q326" s="82"/>
      <c r="R326" s="81">
        <f t="shared" si="93"/>
        <v>15110000</v>
      </c>
      <c r="S326" s="81">
        <f>'LRA SP2D'!R327</f>
        <v>7393175</v>
      </c>
      <c r="T326" s="81"/>
      <c r="U326" s="81">
        <f>'LRA SP2D'!U327</f>
        <v>12055175</v>
      </c>
      <c r="V326" s="81"/>
      <c r="W326" s="81">
        <f t="shared" si="94"/>
        <v>12055175</v>
      </c>
      <c r="X326" s="161">
        <f t="shared" si="112"/>
        <v>3054825</v>
      </c>
      <c r="Y326" s="161"/>
      <c r="Z326" s="161">
        <f t="shared" si="113"/>
        <v>-4662000</v>
      </c>
      <c r="AA326" s="199">
        <f t="shared" si="114"/>
        <v>0.79782759761747191</v>
      </c>
      <c r="AB326" s="3"/>
      <c r="AC326" s="3"/>
      <c r="AD326" s="3"/>
      <c r="AE326" s="3"/>
    </row>
    <row r="327" spans="1:31" ht="30" customHeight="1">
      <c r="A327" s="65">
        <v>7</v>
      </c>
      <c r="B327" s="113" t="s">
        <v>19</v>
      </c>
      <c r="C327" s="113" t="s">
        <v>32</v>
      </c>
      <c r="D327" s="12">
        <v>2</v>
      </c>
      <c r="E327" s="104" t="s">
        <v>19</v>
      </c>
      <c r="F327" s="104" t="s">
        <v>38</v>
      </c>
      <c r="G327" s="12">
        <v>5</v>
      </c>
      <c r="H327" s="12">
        <v>1</v>
      </c>
      <c r="I327" s="104" t="s">
        <v>22</v>
      </c>
      <c r="J327" s="104" t="s">
        <v>22</v>
      </c>
      <c r="K327" s="12"/>
      <c r="L327" s="16"/>
      <c r="M327" s="33"/>
      <c r="N327" s="129" t="s">
        <v>75</v>
      </c>
      <c r="O327" s="82"/>
      <c r="P327" s="82">
        <f>'LRA SP2D'!O328</f>
        <v>15770000</v>
      </c>
      <c r="Q327" s="81"/>
      <c r="R327" s="82">
        <f t="shared" si="93"/>
        <v>15770000</v>
      </c>
      <c r="S327" s="82">
        <f>S328+S332</f>
        <v>10040000</v>
      </c>
      <c r="T327" s="82">
        <f t="shared" ref="T327:U327" si="115">T328+T332</f>
        <v>0</v>
      </c>
      <c r="U327" s="82">
        <f t="shared" si="115"/>
        <v>14170000</v>
      </c>
      <c r="V327" s="82"/>
      <c r="W327" s="82">
        <f t="shared" ref="W327:W339" si="116">SUM(T327:V327)</f>
        <v>14170000</v>
      </c>
      <c r="X327" s="170">
        <f t="shared" si="112"/>
        <v>1600000</v>
      </c>
      <c r="Y327" s="170"/>
      <c r="Z327" s="170">
        <f t="shared" si="113"/>
        <v>-4130000</v>
      </c>
      <c r="AA327" s="196">
        <f t="shared" si="114"/>
        <v>0.89854153455928976</v>
      </c>
      <c r="AB327" s="3"/>
      <c r="AC327" s="3"/>
      <c r="AD327" s="3"/>
      <c r="AE327" s="3"/>
    </row>
    <row r="328" spans="1:31" ht="30" customHeight="1">
      <c r="A328" s="65">
        <v>7</v>
      </c>
      <c r="B328" s="113" t="s">
        <v>19</v>
      </c>
      <c r="C328" s="113" t="s">
        <v>32</v>
      </c>
      <c r="D328" s="12">
        <v>2</v>
      </c>
      <c r="E328" s="104" t="s">
        <v>19</v>
      </c>
      <c r="F328" s="104" t="s">
        <v>38</v>
      </c>
      <c r="G328" s="12">
        <v>5</v>
      </c>
      <c r="H328" s="12">
        <v>1</v>
      </c>
      <c r="I328" s="104" t="s">
        <v>22</v>
      </c>
      <c r="J328" s="104" t="s">
        <v>22</v>
      </c>
      <c r="K328" s="104" t="s">
        <v>19</v>
      </c>
      <c r="L328" s="12"/>
      <c r="M328" s="96"/>
      <c r="N328" s="129" t="s">
        <v>114</v>
      </c>
      <c r="O328" s="82"/>
      <c r="P328" s="82">
        <f>'LRA SP2D'!O329</f>
        <v>15770000</v>
      </c>
      <c r="Q328" s="81"/>
      <c r="R328" s="82">
        <f t="shared" si="93"/>
        <v>15770000</v>
      </c>
      <c r="S328" s="82">
        <f>SUM(S329:S331)</f>
        <v>10040000</v>
      </c>
      <c r="T328" s="82"/>
      <c r="U328" s="82">
        <f>SUM(U329:U331)</f>
        <v>13170000</v>
      </c>
      <c r="V328" s="82"/>
      <c r="W328" s="82">
        <f t="shared" si="116"/>
        <v>13170000</v>
      </c>
      <c r="X328" s="170">
        <f t="shared" si="112"/>
        <v>2600000</v>
      </c>
      <c r="Y328" s="170"/>
      <c r="Z328" s="170">
        <f t="shared" si="113"/>
        <v>-3130000</v>
      </c>
      <c r="AA328" s="196">
        <f t="shared" si="114"/>
        <v>0.83512999365884588</v>
      </c>
      <c r="AB328" s="3"/>
      <c r="AC328" s="3"/>
      <c r="AD328" s="3"/>
      <c r="AE328" s="3"/>
    </row>
    <row r="329" spans="1:31" ht="52.5" customHeight="1">
      <c r="A329" s="67">
        <v>7</v>
      </c>
      <c r="B329" s="114" t="s">
        <v>19</v>
      </c>
      <c r="C329" s="114" t="s">
        <v>32</v>
      </c>
      <c r="D329" s="16">
        <v>2</v>
      </c>
      <c r="E329" s="105" t="s">
        <v>19</v>
      </c>
      <c r="F329" s="105" t="s">
        <v>38</v>
      </c>
      <c r="G329" s="16">
        <v>5</v>
      </c>
      <c r="H329" s="16">
        <v>1</v>
      </c>
      <c r="I329" s="105" t="s">
        <v>22</v>
      </c>
      <c r="J329" s="105" t="s">
        <v>22</v>
      </c>
      <c r="K329" s="105" t="s">
        <v>19</v>
      </c>
      <c r="L329" s="105" t="s">
        <v>27</v>
      </c>
      <c r="M329" s="91">
        <v>3</v>
      </c>
      <c r="N329" s="128" t="s">
        <v>152</v>
      </c>
      <c r="O329" s="82"/>
      <c r="P329" s="81">
        <f>'LRA SP2D'!O330</f>
        <v>3200000</v>
      </c>
      <c r="Q329" s="82"/>
      <c r="R329" s="81">
        <f t="shared" si="93"/>
        <v>3200000</v>
      </c>
      <c r="S329" s="81">
        <f>'LRA SP2D'!R330</f>
        <v>3200000</v>
      </c>
      <c r="T329" s="81"/>
      <c r="U329" s="81">
        <f>'LRA SP2D'!U330</f>
        <v>3200000</v>
      </c>
      <c r="V329" s="81"/>
      <c r="W329" s="81">
        <f t="shared" si="116"/>
        <v>3200000</v>
      </c>
      <c r="X329" s="161">
        <f t="shared" si="112"/>
        <v>0</v>
      </c>
      <c r="Y329" s="161"/>
      <c r="Z329" s="161">
        <f t="shared" si="113"/>
        <v>0</v>
      </c>
      <c r="AA329" s="199">
        <f t="shared" si="114"/>
        <v>1</v>
      </c>
      <c r="AB329" s="3"/>
      <c r="AC329" s="3"/>
      <c r="AD329" s="3"/>
      <c r="AE329" s="3"/>
    </row>
    <row r="330" spans="1:31" ht="50.25" customHeight="1">
      <c r="A330" s="384">
        <v>7</v>
      </c>
      <c r="B330" s="385" t="s">
        <v>19</v>
      </c>
      <c r="C330" s="385" t="s">
        <v>32</v>
      </c>
      <c r="D330" s="307">
        <v>2</v>
      </c>
      <c r="E330" s="306" t="s">
        <v>19</v>
      </c>
      <c r="F330" s="306" t="s">
        <v>38</v>
      </c>
      <c r="G330" s="307">
        <v>5</v>
      </c>
      <c r="H330" s="307">
        <v>1</v>
      </c>
      <c r="I330" s="306" t="s">
        <v>22</v>
      </c>
      <c r="J330" s="306" t="s">
        <v>22</v>
      </c>
      <c r="K330" s="306" t="s">
        <v>19</v>
      </c>
      <c r="L330" s="306" t="s">
        <v>27</v>
      </c>
      <c r="M330" s="417">
        <v>4</v>
      </c>
      <c r="N330" s="407" t="s">
        <v>275</v>
      </c>
      <c r="O330" s="82"/>
      <c r="P330" s="81">
        <f>'LRA SP2D'!O331</f>
        <v>1320000</v>
      </c>
      <c r="Q330" s="82"/>
      <c r="R330" s="81">
        <f t="shared" si="93"/>
        <v>1320000</v>
      </c>
      <c r="S330" s="81">
        <f>'LRA SP2D'!R331</f>
        <v>440000</v>
      </c>
      <c r="T330" s="81"/>
      <c r="U330" s="81">
        <f>'LRA SP2D'!U331</f>
        <v>1320000</v>
      </c>
      <c r="V330" s="81"/>
      <c r="W330" s="81">
        <f t="shared" si="116"/>
        <v>1320000</v>
      </c>
      <c r="X330" s="161">
        <f t="shared" si="112"/>
        <v>0</v>
      </c>
      <c r="Y330" s="161"/>
      <c r="Z330" s="161">
        <f t="shared" si="113"/>
        <v>-880000</v>
      </c>
      <c r="AA330" s="199">
        <f t="shared" si="114"/>
        <v>1</v>
      </c>
      <c r="AB330" s="3"/>
      <c r="AC330" s="3"/>
      <c r="AD330" s="3"/>
      <c r="AE330" s="3"/>
    </row>
    <row r="331" spans="1:31" ht="30" customHeight="1">
      <c r="A331" s="384">
        <v>7</v>
      </c>
      <c r="B331" s="385" t="s">
        <v>19</v>
      </c>
      <c r="C331" s="385" t="s">
        <v>32</v>
      </c>
      <c r="D331" s="307">
        <v>2</v>
      </c>
      <c r="E331" s="306" t="s">
        <v>19</v>
      </c>
      <c r="F331" s="306" t="s">
        <v>38</v>
      </c>
      <c r="G331" s="307">
        <v>5</v>
      </c>
      <c r="H331" s="307">
        <v>1</v>
      </c>
      <c r="I331" s="306" t="s">
        <v>22</v>
      </c>
      <c r="J331" s="306" t="s">
        <v>22</v>
      </c>
      <c r="K331" s="306" t="s">
        <v>19</v>
      </c>
      <c r="L331" s="306" t="s">
        <v>52</v>
      </c>
      <c r="M331" s="417">
        <v>7</v>
      </c>
      <c r="N331" s="407" t="s">
        <v>268</v>
      </c>
      <c r="O331" s="82"/>
      <c r="P331" s="81">
        <f>'LRA SP2D'!O332</f>
        <v>11250000</v>
      </c>
      <c r="Q331" s="82"/>
      <c r="R331" s="81">
        <f t="shared" si="93"/>
        <v>11250000</v>
      </c>
      <c r="S331" s="81">
        <f>'LRA SP2D'!R332</f>
        <v>6400000</v>
      </c>
      <c r="T331" s="81"/>
      <c r="U331" s="81">
        <f>'LRA SP2D'!U332</f>
        <v>8650000</v>
      </c>
      <c r="V331" s="81"/>
      <c r="W331" s="81">
        <f t="shared" si="116"/>
        <v>8650000</v>
      </c>
      <c r="X331" s="161">
        <f t="shared" si="112"/>
        <v>2600000</v>
      </c>
      <c r="Y331" s="161"/>
      <c r="Z331" s="161">
        <f t="shared" si="113"/>
        <v>-2250000</v>
      </c>
      <c r="AA331" s="199">
        <f t="shared" si="114"/>
        <v>0.76888888888888884</v>
      </c>
      <c r="AB331" s="3"/>
      <c r="AC331" s="3"/>
      <c r="AD331" s="3"/>
      <c r="AE331" s="3"/>
    </row>
    <row r="332" spans="1:31" s="521" customFormat="1" ht="30" customHeight="1">
      <c r="A332" s="379">
        <v>7</v>
      </c>
      <c r="B332" s="380" t="s">
        <v>19</v>
      </c>
      <c r="C332" s="380" t="s">
        <v>30</v>
      </c>
      <c r="D332" s="289">
        <v>2</v>
      </c>
      <c r="E332" s="396" t="s">
        <v>22</v>
      </c>
      <c r="F332" s="396" t="s">
        <v>19</v>
      </c>
      <c r="G332" s="397">
        <v>5</v>
      </c>
      <c r="H332" s="397">
        <v>1</v>
      </c>
      <c r="I332" s="396" t="s">
        <v>22</v>
      </c>
      <c r="J332" s="328" t="s">
        <v>22</v>
      </c>
      <c r="K332" s="328" t="s">
        <v>36</v>
      </c>
      <c r="L332" s="329"/>
      <c r="M332" s="330"/>
      <c r="N332" s="323" t="s">
        <v>263</v>
      </c>
      <c r="O332" s="82"/>
      <c r="P332" s="82">
        <f>P333</f>
        <v>1000000</v>
      </c>
      <c r="Q332" s="82"/>
      <c r="R332" s="82">
        <f t="shared" si="93"/>
        <v>1000000</v>
      </c>
      <c r="S332" s="82"/>
      <c r="T332" s="82">
        <f>T333</f>
        <v>0</v>
      </c>
      <c r="U332" s="82">
        <f t="shared" ref="U332:V332" si="117">U333</f>
        <v>1000000</v>
      </c>
      <c r="V332" s="82">
        <f t="shared" si="117"/>
        <v>0</v>
      </c>
      <c r="W332" s="82">
        <f>SUM(T332:V332)</f>
        <v>1000000</v>
      </c>
      <c r="X332" s="170">
        <f t="shared" si="112"/>
        <v>0</v>
      </c>
      <c r="Y332" s="170"/>
      <c r="Z332" s="170">
        <f t="shared" ref="Z332:Z333" si="118">S332-W332</f>
        <v>-1000000</v>
      </c>
      <c r="AA332" s="196">
        <f t="shared" ref="AA332:AA333" si="119">W332/R332*100%</f>
        <v>1</v>
      </c>
      <c r="AB332" s="159"/>
      <c r="AC332" s="159"/>
      <c r="AD332" s="159"/>
      <c r="AE332" s="159"/>
    </row>
    <row r="333" spans="1:31" ht="30" customHeight="1">
      <c r="A333" s="384">
        <v>7</v>
      </c>
      <c r="B333" s="385" t="s">
        <v>19</v>
      </c>
      <c r="C333" s="385" t="s">
        <v>30</v>
      </c>
      <c r="D333" s="307">
        <v>2</v>
      </c>
      <c r="E333" s="400" t="s">
        <v>22</v>
      </c>
      <c r="F333" s="400" t="s">
        <v>19</v>
      </c>
      <c r="G333" s="398">
        <v>5</v>
      </c>
      <c r="H333" s="398">
        <v>1</v>
      </c>
      <c r="I333" s="400" t="s">
        <v>22</v>
      </c>
      <c r="J333" s="314" t="s">
        <v>22</v>
      </c>
      <c r="K333" s="314" t="s">
        <v>36</v>
      </c>
      <c r="L333" s="314" t="s">
        <v>56</v>
      </c>
      <c r="M333" s="326">
        <v>8</v>
      </c>
      <c r="N333" s="407" t="s">
        <v>292</v>
      </c>
      <c r="O333" s="82"/>
      <c r="P333" s="81">
        <v>1000000</v>
      </c>
      <c r="Q333" s="82"/>
      <c r="R333" s="81">
        <f t="shared" si="93"/>
        <v>1000000</v>
      </c>
      <c r="S333" s="81"/>
      <c r="T333" s="81"/>
      <c r="U333" s="81">
        <f>'LRA SP2D'!U334</f>
        <v>1000000</v>
      </c>
      <c r="V333" s="81"/>
      <c r="W333" s="81">
        <f>SUM(T333:V333)</f>
        <v>1000000</v>
      </c>
      <c r="X333" s="161"/>
      <c r="Y333" s="161"/>
      <c r="Z333" s="161">
        <f t="shared" si="118"/>
        <v>-1000000</v>
      </c>
      <c r="AA333" s="199">
        <f t="shared" si="119"/>
        <v>1</v>
      </c>
      <c r="AB333" s="3"/>
      <c r="AC333" s="3"/>
      <c r="AD333" s="3"/>
      <c r="AE333" s="3"/>
    </row>
    <row r="334" spans="1:31" ht="30" customHeight="1">
      <c r="A334" s="379">
        <v>7</v>
      </c>
      <c r="B334" s="380" t="s">
        <v>19</v>
      </c>
      <c r="C334" s="380" t="s">
        <v>32</v>
      </c>
      <c r="D334" s="289">
        <v>2</v>
      </c>
      <c r="E334" s="302" t="s">
        <v>19</v>
      </c>
      <c r="F334" s="302" t="s">
        <v>38</v>
      </c>
      <c r="G334" s="289">
        <v>5</v>
      </c>
      <c r="H334" s="289">
        <v>1</v>
      </c>
      <c r="I334" s="302" t="s">
        <v>22</v>
      </c>
      <c r="J334" s="302" t="s">
        <v>54</v>
      </c>
      <c r="K334" s="289"/>
      <c r="L334" s="307"/>
      <c r="M334" s="308"/>
      <c r="N334" s="316" t="s">
        <v>68</v>
      </c>
      <c r="O334" s="82"/>
      <c r="P334" s="82">
        <f>'LRA SP2D'!O335</f>
        <v>5775000</v>
      </c>
      <c r="Q334" s="81"/>
      <c r="R334" s="82">
        <f t="shared" si="93"/>
        <v>5775000</v>
      </c>
      <c r="S334" s="82">
        <f>S335</f>
        <v>1050000</v>
      </c>
      <c r="T334" s="82">
        <f>T335</f>
        <v>0</v>
      </c>
      <c r="U334" s="82">
        <f t="shared" ref="U334:V335" si="120">U335</f>
        <v>4750000</v>
      </c>
      <c r="V334" s="82">
        <f t="shared" si="120"/>
        <v>0</v>
      </c>
      <c r="W334" s="82">
        <f t="shared" si="116"/>
        <v>4750000</v>
      </c>
      <c r="X334" s="170">
        <f t="shared" si="112"/>
        <v>1025000</v>
      </c>
      <c r="Y334" s="170"/>
      <c r="Z334" s="170">
        <f t="shared" si="113"/>
        <v>-3700000</v>
      </c>
      <c r="AA334" s="196">
        <f t="shared" si="114"/>
        <v>0.82251082251082253</v>
      </c>
      <c r="AB334" s="3"/>
      <c r="AC334" s="3"/>
      <c r="AD334" s="3"/>
      <c r="AE334" s="3"/>
    </row>
    <row r="335" spans="1:31" ht="30" customHeight="1">
      <c r="A335" s="379">
        <v>7</v>
      </c>
      <c r="B335" s="380" t="s">
        <v>19</v>
      </c>
      <c r="C335" s="380" t="s">
        <v>32</v>
      </c>
      <c r="D335" s="289">
        <v>2</v>
      </c>
      <c r="E335" s="302" t="s">
        <v>19</v>
      </c>
      <c r="F335" s="302" t="s">
        <v>38</v>
      </c>
      <c r="G335" s="289">
        <v>5</v>
      </c>
      <c r="H335" s="289">
        <v>1</v>
      </c>
      <c r="I335" s="302" t="s">
        <v>22</v>
      </c>
      <c r="J335" s="302" t="s">
        <v>54</v>
      </c>
      <c r="K335" s="302" t="s">
        <v>19</v>
      </c>
      <c r="L335" s="307"/>
      <c r="M335" s="308"/>
      <c r="N335" s="410" t="s">
        <v>69</v>
      </c>
      <c r="O335" s="82"/>
      <c r="P335" s="82">
        <f>'LRA SP2D'!O336</f>
        <v>5775000</v>
      </c>
      <c r="Q335" s="81"/>
      <c r="R335" s="82">
        <f t="shared" si="93"/>
        <v>5775000</v>
      </c>
      <c r="S335" s="82">
        <f>S336</f>
        <v>1050000</v>
      </c>
      <c r="T335" s="82">
        <f>T336</f>
        <v>0</v>
      </c>
      <c r="U335" s="82">
        <f t="shared" si="120"/>
        <v>4750000</v>
      </c>
      <c r="V335" s="82">
        <f t="shared" si="120"/>
        <v>0</v>
      </c>
      <c r="W335" s="82">
        <f t="shared" si="116"/>
        <v>4750000</v>
      </c>
      <c r="X335" s="170">
        <f t="shared" si="112"/>
        <v>1025000</v>
      </c>
      <c r="Y335" s="170"/>
      <c r="Z335" s="170">
        <f t="shared" si="113"/>
        <v>-3700000</v>
      </c>
      <c r="AA335" s="196">
        <f t="shared" si="114"/>
        <v>0.82251082251082253</v>
      </c>
      <c r="AB335" s="3"/>
      <c r="AC335" s="3"/>
      <c r="AD335" s="3"/>
      <c r="AE335" s="3"/>
    </row>
    <row r="336" spans="1:31" ht="30" customHeight="1">
      <c r="A336" s="384">
        <v>7</v>
      </c>
      <c r="B336" s="385" t="s">
        <v>19</v>
      </c>
      <c r="C336" s="385" t="s">
        <v>32</v>
      </c>
      <c r="D336" s="307">
        <v>2</v>
      </c>
      <c r="E336" s="306" t="s">
        <v>19</v>
      </c>
      <c r="F336" s="306" t="s">
        <v>38</v>
      </c>
      <c r="G336" s="307">
        <v>5</v>
      </c>
      <c r="H336" s="307">
        <v>1</v>
      </c>
      <c r="I336" s="306" t="s">
        <v>22</v>
      </c>
      <c r="J336" s="306" t="s">
        <v>54</v>
      </c>
      <c r="K336" s="306" t="s">
        <v>19</v>
      </c>
      <c r="L336" s="306" t="s">
        <v>27</v>
      </c>
      <c r="M336" s="308">
        <v>3</v>
      </c>
      <c r="N336" s="407" t="s">
        <v>144</v>
      </c>
      <c r="O336" s="81"/>
      <c r="P336" s="81">
        <f>'LRA SP2D'!O337</f>
        <v>5775000</v>
      </c>
      <c r="Q336" s="81"/>
      <c r="R336" s="81">
        <f t="shared" si="93"/>
        <v>5775000</v>
      </c>
      <c r="S336" s="81">
        <f>'LRA SP2D'!R337</f>
        <v>1050000</v>
      </c>
      <c r="T336" s="81"/>
      <c r="U336" s="81">
        <f>'LRA SP2D'!U337</f>
        <v>4750000</v>
      </c>
      <c r="V336" s="81"/>
      <c r="W336" s="81">
        <f t="shared" si="116"/>
        <v>4750000</v>
      </c>
      <c r="X336" s="161">
        <f t="shared" si="112"/>
        <v>1025000</v>
      </c>
      <c r="Y336" s="161"/>
      <c r="Z336" s="161">
        <f t="shared" si="113"/>
        <v>-3700000</v>
      </c>
      <c r="AA336" s="199">
        <f t="shared" si="114"/>
        <v>0.82251082251082253</v>
      </c>
      <c r="AB336" s="3"/>
      <c r="AC336" s="3"/>
      <c r="AD336" s="3"/>
      <c r="AE336" s="3"/>
    </row>
    <row r="337" spans="1:31" ht="57" customHeight="1">
      <c r="A337" s="379">
        <v>7</v>
      </c>
      <c r="B337" s="380" t="s">
        <v>19</v>
      </c>
      <c r="C337" s="380" t="s">
        <v>32</v>
      </c>
      <c r="D337" s="289">
        <v>2</v>
      </c>
      <c r="E337" s="302" t="s">
        <v>19</v>
      </c>
      <c r="F337" s="302" t="s">
        <v>38</v>
      </c>
      <c r="G337" s="289">
        <v>5</v>
      </c>
      <c r="H337" s="289">
        <v>1</v>
      </c>
      <c r="I337" s="302" t="s">
        <v>22</v>
      </c>
      <c r="J337" s="302" t="s">
        <v>32</v>
      </c>
      <c r="K337" s="289"/>
      <c r="L337" s="307"/>
      <c r="M337" s="308"/>
      <c r="N337" s="316" t="s">
        <v>118</v>
      </c>
      <c r="O337" s="82"/>
      <c r="P337" s="82">
        <f>'LRA SP2D'!O338</f>
        <v>18400000</v>
      </c>
      <c r="Q337" s="82"/>
      <c r="R337" s="82">
        <f t="shared" si="93"/>
        <v>18400000</v>
      </c>
      <c r="S337" s="82">
        <f>S338</f>
        <v>3100000</v>
      </c>
      <c r="T337" s="82">
        <f>T338</f>
        <v>0</v>
      </c>
      <c r="U337" s="82">
        <f>U338</f>
        <v>9200000</v>
      </c>
      <c r="V337" s="82">
        <f>V338</f>
        <v>0</v>
      </c>
      <c r="W337" s="82">
        <f t="shared" si="116"/>
        <v>9200000</v>
      </c>
      <c r="X337" s="170">
        <f t="shared" si="112"/>
        <v>9200000</v>
      </c>
      <c r="Y337" s="170"/>
      <c r="Z337" s="170">
        <f t="shared" si="113"/>
        <v>-6100000</v>
      </c>
      <c r="AA337" s="196">
        <f t="shared" si="114"/>
        <v>0.5</v>
      </c>
      <c r="AB337" s="3"/>
      <c r="AC337" s="3"/>
      <c r="AD337" s="3"/>
      <c r="AE337" s="3"/>
    </row>
    <row r="338" spans="1:31" ht="50.25" customHeight="1">
      <c r="A338" s="379">
        <v>7</v>
      </c>
      <c r="B338" s="380" t="s">
        <v>19</v>
      </c>
      <c r="C338" s="380" t="s">
        <v>32</v>
      </c>
      <c r="D338" s="289">
        <v>2</v>
      </c>
      <c r="E338" s="302" t="s">
        <v>19</v>
      </c>
      <c r="F338" s="302" t="s">
        <v>38</v>
      </c>
      <c r="G338" s="289">
        <v>5</v>
      </c>
      <c r="H338" s="289">
        <v>1</v>
      </c>
      <c r="I338" s="302" t="s">
        <v>22</v>
      </c>
      <c r="J338" s="302" t="s">
        <v>32</v>
      </c>
      <c r="K338" s="484" t="s">
        <v>19</v>
      </c>
      <c r="L338" s="482"/>
      <c r="M338" s="417"/>
      <c r="N338" s="316" t="s">
        <v>119</v>
      </c>
      <c r="O338" s="82"/>
      <c r="P338" s="82">
        <f>'LRA SP2D'!O339</f>
        <v>18400000</v>
      </c>
      <c r="Q338" s="82"/>
      <c r="R338" s="82">
        <f t="shared" si="93"/>
        <v>18400000</v>
      </c>
      <c r="S338" s="82">
        <f>S339</f>
        <v>3100000</v>
      </c>
      <c r="T338" s="82">
        <f>T339</f>
        <v>0</v>
      </c>
      <c r="U338" s="82">
        <f t="shared" ref="U338:V338" si="121">U339</f>
        <v>9200000</v>
      </c>
      <c r="V338" s="82">
        <f t="shared" si="121"/>
        <v>0</v>
      </c>
      <c r="W338" s="82">
        <f t="shared" si="116"/>
        <v>9200000</v>
      </c>
      <c r="X338" s="170">
        <f t="shared" si="112"/>
        <v>9200000</v>
      </c>
      <c r="Y338" s="170"/>
      <c r="Z338" s="170">
        <f t="shared" si="113"/>
        <v>-6100000</v>
      </c>
      <c r="AA338" s="196">
        <f t="shared" si="114"/>
        <v>0.5</v>
      </c>
      <c r="AB338" s="3"/>
      <c r="AC338" s="3"/>
      <c r="AD338" s="3"/>
      <c r="AE338" s="3"/>
    </row>
    <row r="339" spans="1:31" ht="30" customHeight="1">
      <c r="A339" s="384">
        <v>7</v>
      </c>
      <c r="B339" s="385" t="s">
        <v>19</v>
      </c>
      <c r="C339" s="385" t="s">
        <v>32</v>
      </c>
      <c r="D339" s="307">
        <v>2</v>
      </c>
      <c r="E339" s="306" t="s">
        <v>19</v>
      </c>
      <c r="F339" s="306" t="s">
        <v>38</v>
      </c>
      <c r="G339" s="307">
        <v>5</v>
      </c>
      <c r="H339" s="307">
        <v>1</v>
      </c>
      <c r="I339" s="306" t="s">
        <v>22</v>
      </c>
      <c r="J339" s="306" t="s">
        <v>32</v>
      </c>
      <c r="K339" s="482" t="s">
        <v>19</v>
      </c>
      <c r="L339" s="482" t="s">
        <v>27</v>
      </c>
      <c r="M339" s="417">
        <v>1</v>
      </c>
      <c r="N339" s="407" t="s">
        <v>272</v>
      </c>
      <c r="O339" s="82"/>
      <c r="P339" s="81">
        <f>'LRA SP2D'!O340</f>
        <v>18400000</v>
      </c>
      <c r="Q339" s="82"/>
      <c r="R339" s="81">
        <f t="shared" si="93"/>
        <v>18400000</v>
      </c>
      <c r="S339" s="81">
        <f>'LRA SP2D'!R340</f>
        <v>3100000</v>
      </c>
      <c r="T339" s="81"/>
      <c r="U339" s="81">
        <f>'LRA SP2D'!U340</f>
        <v>9200000</v>
      </c>
      <c r="V339" s="81"/>
      <c r="W339" s="81">
        <f t="shared" si="116"/>
        <v>9200000</v>
      </c>
      <c r="X339" s="161">
        <f t="shared" si="112"/>
        <v>9200000</v>
      </c>
      <c r="Y339" s="161"/>
      <c r="Z339" s="161">
        <f t="shared" si="113"/>
        <v>-6100000</v>
      </c>
      <c r="AA339" s="199">
        <f t="shared" si="114"/>
        <v>0.5</v>
      </c>
      <c r="AB339" s="3"/>
      <c r="AC339" s="3"/>
      <c r="AD339" s="3"/>
      <c r="AE339" s="3"/>
    </row>
    <row r="340" spans="1:31" ht="16.3">
      <c r="O340" s="3"/>
      <c r="P340" s="3"/>
      <c r="Q340" s="3"/>
      <c r="R340" s="158"/>
      <c r="S340" s="3"/>
      <c r="T340" s="3"/>
      <c r="U340" s="3"/>
      <c r="V340" s="3"/>
      <c r="W340" s="158"/>
      <c r="X340" s="158"/>
      <c r="Y340" s="158"/>
      <c r="Z340" s="3"/>
      <c r="AA340" s="3"/>
      <c r="AB340" s="3"/>
      <c r="AC340" s="3"/>
      <c r="AD340" s="3"/>
      <c r="AE340" s="3"/>
    </row>
    <row r="341" spans="1:31" ht="16.3">
      <c r="O341" s="3"/>
      <c r="P341" s="3"/>
      <c r="Q341" s="3"/>
      <c r="R341" s="158"/>
      <c r="S341" s="3"/>
      <c r="T341" s="3"/>
      <c r="U341" s="3"/>
      <c r="V341" s="3"/>
      <c r="W341" s="158"/>
      <c r="X341" s="158"/>
      <c r="Y341" s="158"/>
      <c r="Z341" s="3"/>
      <c r="AA341" s="3"/>
      <c r="AB341" s="3"/>
      <c r="AC341" s="3"/>
      <c r="AD341" s="3"/>
      <c r="AE341" s="3"/>
    </row>
    <row r="342" spans="1:31" ht="16.3">
      <c r="N342" s="142" t="s">
        <v>198</v>
      </c>
      <c r="O342" s="97"/>
      <c r="P342" s="123"/>
      <c r="Q342" s="123"/>
      <c r="R342" s="123"/>
      <c r="S342" s="123"/>
      <c r="T342" s="123"/>
      <c r="U342" s="188"/>
      <c r="V342" s="189" t="str">
        <f>'LRA SP2D'!V343</f>
        <v>Padang Panjang, 30 Desember  2022</v>
      </c>
      <c r="W342" s="143"/>
    </row>
    <row r="343" spans="1:31" ht="16.3">
      <c r="N343" s="142" t="s">
        <v>199</v>
      </c>
      <c r="O343" s="97"/>
      <c r="P343" s="123"/>
      <c r="Q343" s="123"/>
      <c r="R343" s="123"/>
      <c r="S343" s="123"/>
      <c r="T343" s="123"/>
      <c r="U343" s="188"/>
      <c r="V343" s="190"/>
      <c r="W343" s="144"/>
    </row>
    <row r="344" spans="1:31" ht="16.3">
      <c r="N344" s="142" t="s">
        <v>200</v>
      </c>
      <c r="O344" s="97"/>
      <c r="P344" s="123"/>
      <c r="Q344" s="123"/>
      <c r="R344" s="123"/>
      <c r="S344" s="123"/>
      <c r="T344" s="123"/>
      <c r="U344" s="188"/>
      <c r="V344" s="189" t="s">
        <v>212</v>
      </c>
      <c r="W344" s="144"/>
    </row>
    <row r="345" spans="1:31" ht="16.3">
      <c r="N345" s="142"/>
      <c r="O345" s="97"/>
      <c r="P345" s="123"/>
      <c r="Q345" s="123"/>
      <c r="R345" s="123"/>
      <c r="S345" s="123"/>
      <c r="T345" s="123"/>
      <c r="U345" s="188"/>
      <c r="V345" s="189"/>
      <c r="W345" s="144"/>
    </row>
    <row r="346" spans="1:31" ht="16.3">
      <c r="N346" s="142"/>
      <c r="O346" s="97"/>
      <c r="P346" s="123"/>
      <c r="Q346" s="123"/>
      <c r="R346" s="123"/>
      <c r="S346" s="123"/>
      <c r="T346" s="123"/>
      <c r="U346" s="188"/>
      <c r="V346" s="189"/>
      <c r="W346" s="144"/>
    </row>
    <row r="347" spans="1:31" ht="16.3">
      <c r="N347" s="142"/>
      <c r="O347" s="97"/>
      <c r="P347" s="123"/>
      <c r="Q347" s="123"/>
      <c r="R347" s="123"/>
      <c r="S347" s="123"/>
      <c r="T347" s="123"/>
      <c r="U347" s="188"/>
      <c r="V347" s="189"/>
      <c r="W347" s="144"/>
    </row>
    <row r="348" spans="1:31" ht="16.3">
      <c r="N348" s="142"/>
      <c r="O348" s="97"/>
      <c r="P348" s="123"/>
      <c r="Q348" s="123"/>
      <c r="R348" s="123"/>
      <c r="S348" s="123"/>
      <c r="T348" s="123"/>
      <c r="U348" s="188"/>
      <c r="V348" s="189"/>
      <c r="W348" s="144"/>
    </row>
    <row r="349" spans="1:31" ht="16.3">
      <c r="N349" s="142"/>
      <c r="O349" s="97"/>
      <c r="P349" s="123"/>
      <c r="Q349" s="123"/>
      <c r="R349" s="123"/>
      <c r="S349" s="123"/>
      <c r="T349" s="123"/>
      <c r="U349" s="188"/>
      <c r="V349" s="189"/>
      <c r="W349" s="144"/>
    </row>
    <row r="350" spans="1:31" ht="16.3">
      <c r="N350" s="142"/>
      <c r="O350" s="97"/>
      <c r="P350" s="123"/>
      <c r="Q350" s="123"/>
      <c r="R350" s="123"/>
      <c r="S350" s="123"/>
      <c r="T350" s="123"/>
      <c r="U350" s="188"/>
      <c r="V350" s="189"/>
      <c r="W350" s="144"/>
    </row>
    <row r="351" spans="1:31" ht="16.3">
      <c r="N351" s="142"/>
      <c r="O351" s="97"/>
      <c r="P351" s="123"/>
      <c r="Q351" s="123"/>
      <c r="R351" s="123"/>
      <c r="S351" s="123"/>
      <c r="T351" s="123"/>
      <c r="U351" s="188"/>
      <c r="V351" s="189"/>
      <c r="W351" s="144"/>
    </row>
    <row r="352" spans="1:31" ht="16.3">
      <c r="N352" s="142"/>
      <c r="O352" s="97"/>
      <c r="P352" s="123"/>
      <c r="Q352" s="123"/>
      <c r="R352" s="123"/>
      <c r="S352" s="123"/>
      <c r="T352" s="123"/>
      <c r="U352" s="188"/>
      <c r="V352" s="189"/>
      <c r="W352" s="144"/>
    </row>
    <row r="353" spans="14:23" ht="22.5" customHeight="1">
      <c r="N353" s="98" t="str">
        <f>'LRA SP2D'!N352</f>
        <v xml:space="preserve">Drs. A S R U L </v>
      </c>
      <c r="O353" s="97"/>
      <c r="P353" s="123"/>
      <c r="Q353" s="123"/>
      <c r="R353" s="123"/>
      <c r="S353" s="123"/>
      <c r="T353" s="123"/>
      <c r="U353" s="188"/>
      <c r="V353" s="221" t="str">
        <f>'LRA SP2D'!V352</f>
        <v>JUBLINA GA WEWO, SE</v>
      </c>
      <c r="W353" s="146"/>
    </row>
    <row r="354" spans="14:23" ht="22.5" customHeight="1">
      <c r="N354" s="99" t="str">
        <f>'LRA SP2D'!N353</f>
        <v>NIP. 196511121997021004</v>
      </c>
      <c r="O354" s="97"/>
      <c r="P354" s="123"/>
      <c r="Q354" s="123"/>
      <c r="R354" s="123"/>
      <c r="S354" s="123"/>
      <c r="T354" s="123"/>
      <c r="U354" s="192"/>
      <c r="V354" s="222" t="str">
        <f>'LRA SP2D'!V353</f>
        <v>NIP.197809102007012004</v>
      </c>
      <c r="W354" s="147"/>
    </row>
    <row r="355" spans="14:23" ht="16.3">
      <c r="N355" s="97"/>
      <c r="O355" s="97"/>
      <c r="P355" s="123"/>
      <c r="Q355" s="123"/>
      <c r="R355" s="123"/>
      <c r="S355" s="123"/>
      <c r="T355" s="123"/>
      <c r="U355" s="192"/>
      <c r="V355" s="123"/>
      <c r="W355" s="97"/>
    </row>
    <row r="359" spans="14:23">
      <c r="W359" s="489" t="s">
        <v>276</v>
      </c>
    </row>
  </sheetData>
  <mergeCells count="23">
    <mergeCell ref="A13:M13"/>
    <mergeCell ref="AA5:AA9"/>
    <mergeCell ref="O9:O12"/>
    <mergeCell ref="P9:P12"/>
    <mergeCell ref="Q9:Q12"/>
    <mergeCell ref="R9:R12"/>
    <mergeCell ref="T9:T12"/>
    <mergeCell ref="U9:U12"/>
    <mergeCell ref="V9:V12"/>
    <mergeCell ref="W9:W12"/>
    <mergeCell ref="AA10:AA12"/>
    <mergeCell ref="O5:R8"/>
    <mergeCell ref="S5:S12"/>
    <mergeCell ref="T5:W8"/>
    <mergeCell ref="X5:X12"/>
    <mergeCell ref="A1:AA1"/>
    <mergeCell ref="A2:AA2"/>
    <mergeCell ref="A3:AA3"/>
    <mergeCell ref="A5:M12"/>
    <mergeCell ref="N5:N12"/>
    <mergeCell ref="Y5:Y12"/>
    <mergeCell ref="Z5:Z12"/>
    <mergeCell ref="N4:AN4"/>
  </mergeCells>
  <pageMargins left="0.5" right="0.25" top="0.25" bottom="0.25" header="0.3" footer="0.25"/>
  <pageSetup paperSize="5" scale="35" orientation="landscape" useFirstPageNumber="1" horizontalDpi="4294967294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774"/>
  <sheetViews>
    <sheetView topLeftCell="Q1" zoomScale="62" zoomScaleNormal="62" workbookViewId="0">
      <selection activeCell="U17" sqref="U17"/>
    </sheetView>
  </sheetViews>
  <sheetFormatPr defaultColWidth="8.69140625" defaultRowHeight="14.6"/>
  <cols>
    <col min="1" max="1" width="3.69140625" customWidth="1"/>
    <col min="2" max="2" width="6.23046875" customWidth="1"/>
    <col min="3" max="3" width="8.15234375" customWidth="1"/>
    <col min="4" max="4" width="3.69140625" customWidth="1"/>
    <col min="5" max="5" width="7.4609375" customWidth="1"/>
    <col min="6" max="6" width="4.23046875" customWidth="1"/>
    <col min="7" max="8" width="3.69140625" customWidth="1"/>
    <col min="9" max="9" width="4.23046875" customWidth="1"/>
    <col min="10" max="10" width="4.15234375" customWidth="1"/>
    <col min="11" max="11" width="5.53515625" customWidth="1"/>
    <col min="12" max="12" width="5.15234375" customWidth="1"/>
    <col min="13" max="13" width="3.69140625" customWidth="1"/>
    <col min="14" max="14" width="68.4609375" customWidth="1"/>
    <col min="15" max="15" width="25.4609375" customWidth="1"/>
    <col min="16" max="16" width="26.23046875" customWidth="1"/>
    <col min="17" max="17" width="24.69140625" customWidth="1"/>
    <col min="18" max="18" width="28.84375" customWidth="1"/>
    <col min="19" max="19" width="27.15234375" customWidth="1"/>
    <col min="20" max="20" width="24.53515625" customWidth="1"/>
    <col min="21" max="21" width="26.4609375" customWidth="1"/>
    <col min="22" max="22" width="26.84375" customWidth="1"/>
    <col min="23" max="23" width="24" customWidth="1"/>
    <col min="24" max="24" width="24.69140625" customWidth="1"/>
    <col min="25" max="25" width="17.84375" customWidth="1"/>
    <col min="29" max="29" width="25" customWidth="1"/>
    <col min="31" max="31" width="24.4609375" bestFit="1" customWidth="1"/>
  </cols>
  <sheetData>
    <row r="1" spans="1:25" s="135" customFormat="1" ht="30.75" customHeight="1">
      <c r="A1" s="532" t="s">
        <v>210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</row>
    <row r="2" spans="1:25" s="135" customFormat="1" ht="30.75" customHeight="1">
      <c r="A2" s="532" t="s">
        <v>211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</row>
    <row r="3" spans="1:25" s="135" customFormat="1" ht="30.75" customHeight="1">
      <c r="A3" s="533" t="s">
        <v>296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</row>
    <row r="4" spans="1:25">
      <c r="O4" s="228">
        <f>N4-N5</f>
        <v>0</v>
      </c>
      <c r="T4" s="228"/>
      <c r="V4" s="228"/>
      <c r="W4" s="228"/>
      <c r="Y4" s="228"/>
    </row>
    <row r="5" spans="1:25" ht="15" customHeight="1">
      <c r="N5" s="228"/>
    </row>
    <row r="6" spans="1:25" s="3" customFormat="1" ht="15" customHeight="1">
      <c r="A6" s="534" t="s">
        <v>0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 t="s">
        <v>1</v>
      </c>
      <c r="O6" s="534" t="s">
        <v>2</v>
      </c>
      <c r="P6" s="553" t="s">
        <v>3</v>
      </c>
      <c r="Q6" s="554"/>
      <c r="R6" s="555"/>
      <c r="S6" s="562" t="s">
        <v>4</v>
      </c>
      <c r="T6" s="563"/>
      <c r="U6" s="564"/>
      <c r="V6" s="535" t="s">
        <v>5</v>
      </c>
      <c r="W6" s="536" t="s">
        <v>298</v>
      </c>
      <c r="X6" s="538" t="s">
        <v>299</v>
      </c>
      <c r="Y6" s="535" t="s">
        <v>217</v>
      </c>
    </row>
    <row r="7" spans="1:25" s="3" customFormat="1" ht="15" customHeight="1">
      <c r="A7" s="534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56"/>
      <c r="Q7" s="557"/>
      <c r="R7" s="558"/>
      <c r="S7" s="565"/>
      <c r="T7" s="566"/>
      <c r="U7" s="567"/>
      <c r="V7" s="540"/>
      <c r="W7" s="537"/>
      <c r="X7" s="539"/>
      <c r="Y7" s="540"/>
    </row>
    <row r="8" spans="1:25" s="3" customFormat="1" ht="15" customHeight="1">
      <c r="A8" s="534"/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56"/>
      <c r="Q8" s="557"/>
      <c r="R8" s="558"/>
      <c r="S8" s="565"/>
      <c r="T8" s="566"/>
      <c r="U8" s="567"/>
      <c r="V8" s="540"/>
      <c r="W8" s="537"/>
      <c r="X8" s="539"/>
      <c r="Y8" s="540"/>
    </row>
    <row r="9" spans="1:25" s="3" customFormat="1" ht="15" customHeight="1">
      <c r="A9" s="534"/>
      <c r="B9" s="534"/>
      <c r="C9" s="534"/>
      <c r="D9" s="534"/>
      <c r="E9" s="534"/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59"/>
      <c r="Q9" s="560"/>
      <c r="R9" s="561"/>
      <c r="S9" s="568"/>
      <c r="T9" s="569"/>
      <c r="U9" s="570"/>
      <c r="V9" s="541"/>
      <c r="W9" s="537"/>
      <c r="X9" s="539"/>
      <c r="Y9" s="540"/>
    </row>
    <row r="10" spans="1:25" s="3" customFormat="1" ht="15" customHeight="1">
      <c r="A10" s="534"/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5" t="s">
        <v>7</v>
      </c>
      <c r="Q10" s="535" t="s">
        <v>8</v>
      </c>
      <c r="R10" s="535" t="s">
        <v>9</v>
      </c>
      <c r="S10" s="535" t="s">
        <v>7</v>
      </c>
      <c r="T10" s="535" t="s">
        <v>8</v>
      </c>
      <c r="U10" s="535" t="s">
        <v>9</v>
      </c>
      <c r="V10" s="535" t="s">
        <v>9</v>
      </c>
      <c r="W10" s="537"/>
      <c r="X10" s="539"/>
      <c r="Y10" s="541"/>
    </row>
    <row r="11" spans="1:25" s="3" customFormat="1" ht="15" customHeight="1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40"/>
      <c r="Q11" s="540"/>
      <c r="R11" s="540"/>
      <c r="S11" s="540"/>
      <c r="T11" s="540"/>
      <c r="U11" s="540"/>
      <c r="V11" s="540"/>
      <c r="W11" s="537"/>
      <c r="X11" s="539"/>
      <c r="Y11" s="534" t="s">
        <v>9</v>
      </c>
    </row>
    <row r="12" spans="1:25" s="3" customFormat="1" ht="15" customHeight="1">
      <c r="A12" s="534"/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40"/>
      <c r="Q12" s="540"/>
      <c r="R12" s="540"/>
      <c r="S12" s="540"/>
      <c r="T12" s="540"/>
      <c r="U12" s="540"/>
      <c r="V12" s="540"/>
      <c r="W12" s="537"/>
      <c r="X12" s="539"/>
      <c r="Y12" s="534"/>
    </row>
    <row r="13" spans="1:25" s="3" customFormat="1" ht="15.75" customHeight="1">
      <c r="A13" s="535"/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40"/>
      <c r="Q13" s="540"/>
      <c r="R13" s="540"/>
      <c r="S13" s="540"/>
      <c r="T13" s="540"/>
      <c r="U13" s="540"/>
      <c r="V13" s="540"/>
      <c r="W13" s="537"/>
      <c r="X13" s="539"/>
      <c r="Y13" s="535"/>
    </row>
    <row r="14" spans="1:25" s="159" customFormat="1" ht="43.5" customHeight="1">
      <c r="A14" s="535" t="s">
        <v>10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132">
        <v>2</v>
      </c>
      <c r="O14" s="132" t="s">
        <v>86</v>
      </c>
      <c r="P14" s="132" t="s">
        <v>11</v>
      </c>
      <c r="Q14" s="132" t="s">
        <v>12</v>
      </c>
      <c r="R14" s="132" t="s">
        <v>13</v>
      </c>
      <c r="S14" s="132" t="s">
        <v>14</v>
      </c>
      <c r="T14" s="132" t="s">
        <v>15</v>
      </c>
      <c r="U14" s="205" t="s">
        <v>231</v>
      </c>
      <c r="V14" s="182" t="s">
        <v>232</v>
      </c>
      <c r="W14" s="182" t="s">
        <v>17</v>
      </c>
      <c r="X14" s="182" t="s">
        <v>18</v>
      </c>
      <c r="Y14" s="206" t="s">
        <v>229</v>
      </c>
    </row>
    <row r="15" spans="1:25" s="3" customFormat="1" ht="25" customHeight="1">
      <c r="A15" s="149" t="s">
        <v>14</v>
      </c>
      <c r="B15" s="150" t="s">
        <v>19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153" t="s">
        <v>20</v>
      </c>
      <c r="O15" s="154">
        <f>O17+O150+O207+O274+O289</f>
        <v>19003336695</v>
      </c>
      <c r="P15" s="183">
        <f>P17+P150+P207+P274+P289</f>
        <v>16233693061</v>
      </c>
      <c r="Q15" s="183">
        <f>Q16+Q17+Q150+Q207+Q274+Q289</f>
        <v>2359463294</v>
      </c>
      <c r="R15" s="175">
        <f>P15+Q15</f>
        <v>18593156355</v>
      </c>
      <c r="S15" s="184">
        <f>S17+S150+S207+S274+S289</f>
        <v>15756177524</v>
      </c>
      <c r="T15" s="184">
        <f>T17+T150+T207+T274+T289</f>
        <v>2548278731</v>
      </c>
      <c r="U15" s="175">
        <f>S15+T15</f>
        <v>18304456255</v>
      </c>
      <c r="V15" s="175">
        <f>O15-U15</f>
        <v>698880440</v>
      </c>
      <c r="W15" s="175">
        <f>W17</f>
        <v>7189005</v>
      </c>
      <c r="X15" s="175">
        <f>R15-W15-U15</f>
        <v>281511095</v>
      </c>
      <c r="Y15" s="208">
        <f>U15/O15*100%</f>
        <v>0.96322327751084458</v>
      </c>
    </row>
    <row r="16" spans="1:25" s="159" customFormat="1" ht="21" customHeight="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4"/>
      <c r="N16" s="125"/>
      <c r="O16" s="201"/>
      <c r="P16" s="219"/>
      <c r="Q16" s="219"/>
      <c r="R16" s="82"/>
      <c r="S16" s="220"/>
      <c r="T16" s="220"/>
      <c r="U16" s="82"/>
      <c r="V16" s="82"/>
      <c r="W16" s="82"/>
      <c r="X16" s="82"/>
      <c r="Y16" s="209"/>
    </row>
    <row r="17" spans="1:31" s="3" customFormat="1" ht="54.75" customHeight="1">
      <c r="A17" s="5">
        <v>7</v>
      </c>
      <c r="B17" s="101" t="s">
        <v>19</v>
      </c>
      <c r="C17" s="101" t="s">
        <v>19</v>
      </c>
      <c r="D17" s="6"/>
      <c r="E17" s="6"/>
      <c r="F17" s="6"/>
      <c r="G17" s="6"/>
      <c r="H17" s="6"/>
      <c r="I17" s="6"/>
      <c r="J17" s="6"/>
      <c r="K17" s="6"/>
      <c r="L17" s="6"/>
      <c r="M17" s="20"/>
      <c r="N17" s="124" t="s">
        <v>21</v>
      </c>
      <c r="O17" s="21">
        <f>O19+O38+O75+O88+O115</f>
        <v>11955260795</v>
      </c>
      <c r="P17" s="179">
        <f>P18+P19+P38+P75+P88+P115</f>
        <v>10865796801</v>
      </c>
      <c r="Q17" s="179">
        <f>Q18+Q19+Q38+Q75+Q88+Q115</f>
        <v>1348903902</v>
      </c>
      <c r="R17" s="160">
        <f>P17+Q17</f>
        <v>12214700703</v>
      </c>
      <c r="S17" s="179">
        <f>S19+S38+S75+S88+S115</f>
        <v>10184197783</v>
      </c>
      <c r="T17" s="179">
        <f>T19+T38+T75+T88+T115</f>
        <v>1350339741</v>
      </c>
      <c r="U17" s="160">
        <f>S17+T17</f>
        <v>11534537524</v>
      </c>
      <c r="V17" s="160">
        <f>O17-U17</f>
        <v>420723271</v>
      </c>
      <c r="W17" s="229">
        <f>W19</f>
        <v>7189005</v>
      </c>
      <c r="X17" s="229"/>
      <c r="Y17" s="230">
        <f t="shared" ref="Y17:Y90" si="0">U17/O17*100%</f>
        <v>0.96480852419581198</v>
      </c>
      <c r="AC17" s="158">
        <f>X15</f>
        <v>281511095</v>
      </c>
    </row>
    <row r="18" spans="1:31" s="3" customFormat="1" ht="18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2"/>
      <c r="N18" s="125"/>
      <c r="O18" s="23"/>
      <c r="P18" s="121"/>
      <c r="Q18" s="121"/>
      <c r="R18" s="82"/>
      <c r="S18" s="121"/>
      <c r="T18" s="121"/>
      <c r="U18" s="82"/>
      <c r="V18" s="82"/>
      <c r="W18" s="82"/>
      <c r="X18" s="82"/>
      <c r="Y18" s="209"/>
    </row>
    <row r="19" spans="1:31" s="3" customFormat="1" ht="42.75" customHeight="1">
      <c r="A19" s="9">
        <v>7</v>
      </c>
      <c r="B19" s="102" t="s">
        <v>19</v>
      </c>
      <c r="C19" s="102" t="s">
        <v>19</v>
      </c>
      <c r="D19" s="10">
        <v>2</v>
      </c>
      <c r="E19" s="102" t="s">
        <v>22</v>
      </c>
      <c r="F19" s="10"/>
      <c r="G19" s="10"/>
      <c r="H19" s="10"/>
      <c r="I19" s="10"/>
      <c r="J19" s="10"/>
      <c r="K19" s="10"/>
      <c r="L19" s="10"/>
      <c r="M19" s="24"/>
      <c r="N19" s="25" t="s">
        <v>23</v>
      </c>
      <c r="O19" s="26">
        <f>O21</f>
        <v>9852691312</v>
      </c>
      <c r="P19" s="163">
        <f>P21</f>
        <v>8586635993</v>
      </c>
      <c r="Q19" s="163">
        <f>Q21</f>
        <v>1073191969</v>
      </c>
      <c r="R19" s="163">
        <f t="shared" ref="R19:R90" si="1">P19+Q19</f>
        <v>9659827962</v>
      </c>
      <c r="S19" s="163">
        <f>S21</f>
        <v>8580075771</v>
      </c>
      <c r="T19" s="163">
        <f>T21</f>
        <v>1072563186</v>
      </c>
      <c r="U19" s="163">
        <f t="shared" ref="U19:U90" si="2">S19+T19</f>
        <v>9652638957</v>
      </c>
      <c r="V19" s="163">
        <f t="shared" ref="V19:V90" si="3">O19-U19</f>
        <v>200052355</v>
      </c>
      <c r="W19" s="163">
        <f>R19-U19</f>
        <v>7189005</v>
      </c>
      <c r="X19" s="163"/>
      <c r="Y19" s="211">
        <f t="shared" si="0"/>
        <v>0.97969566399016805</v>
      </c>
      <c r="AC19" s="3">
        <v>279197444</v>
      </c>
      <c r="AE19" s="158">
        <f>X15</f>
        <v>281511095</v>
      </c>
    </row>
    <row r="20" spans="1:31" s="3" customFormat="1" ht="18" customHeight="1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7"/>
      <c r="N20" s="28"/>
      <c r="O20" s="29"/>
      <c r="P20" s="180"/>
      <c r="Q20" s="180"/>
      <c r="R20" s="82"/>
      <c r="S20" s="180"/>
      <c r="T20" s="180"/>
      <c r="U20" s="82"/>
      <c r="V20" s="82"/>
      <c r="W20" s="82"/>
      <c r="X20" s="82"/>
      <c r="Y20" s="209"/>
      <c r="AE20" s="158">
        <f>'SPJ FUNGSIONAL '!Y396</f>
        <v>0</v>
      </c>
    </row>
    <row r="21" spans="1:31" s="3" customFormat="1" ht="31.5" customHeight="1">
      <c r="A21" s="13">
        <v>7</v>
      </c>
      <c r="B21" s="103" t="s">
        <v>19</v>
      </c>
      <c r="C21" s="103" t="s">
        <v>19</v>
      </c>
      <c r="D21" s="14">
        <v>2</v>
      </c>
      <c r="E21" s="103" t="s">
        <v>22</v>
      </c>
      <c r="F21" s="103" t="s">
        <v>19</v>
      </c>
      <c r="G21" s="14"/>
      <c r="H21" s="14"/>
      <c r="I21" s="14"/>
      <c r="J21" s="14"/>
      <c r="K21" s="14"/>
      <c r="L21" s="14"/>
      <c r="M21" s="30"/>
      <c r="N21" s="31" t="s">
        <v>24</v>
      </c>
      <c r="O21" s="32">
        <f>O22</f>
        <v>9852691312</v>
      </c>
      <c r="P21" s="165">
        <f>P22</f>
        <v>8586635993</v>
      </c>
      <c r="Q21" s="165">
        <f>Q22</f>
        <v>1073191969</v>
      </c>
      <c r="R21" s="165">
        <f t="shared" si="1"/>
        <v>9659827962</v>
      </c>
      <c r="S21" s="165">
        <f>S22</f>
        <v>8580075771</v>
      </c>
      <c r="T21" s="165">
        <f>T22</f>
        <v>1072563186</v>
      </c>
      <c r="U21" s="165">
        <f>S21+T21</f>
        <v>9652638957</v>
      </c>
      <c r="V21" s="165">
        <f t="shared" si="3"/>
        <v>200052355</v>
      </c>
      <c r="W21" s="165">
        <f>R21-U21</f>
        <v>7189005</v>
      </c>
      <c r="X21" s="165"/>
      <c r="Y21" s="212">
        <f t="shared" si="0"/>
        <v>0.97969566399016805</v>
      </c>
      <c r="AC21" s="158">
        <f>AC17-AC19</f>
        <v>2313651</v>
      </c>
      <c r="AE21" s="158">
        <f>AE19-AE20</f>
        <v>281511095</v>
      </c>
    </row>
    <row r="22" spans="1:31" s="3" customFormat="1" ht="36.75" customHeight="1">
      <c r="A22" s="11">
        <v>7</v>
      </c>
      <c r="B22" s="104" t="s">
        <v>19</v>
      </c>
      <c r="C22" s="104" t="s">
        <v>19</v>
      </c>
      <c r="D22" s="12">
        <v>2</v>
      </c>
      <c r="E22" s="104" t="s">
        <v>22</v>
      </c>
      <c r="F22" s="104" t="s">
        <v>19</v>
      </c>
      <c r="G22" s="104" t="s">
        <v>12</v>
      </c>
      <c r="H22" s="104" t="s">
        <v>10</v>
      </c>
      <c r="I22" s="12"/>
      <c r="J22" s="12"/>
      <c r="K22" s="12"/>
      <c r="L22" s="12"/>
      <c r="M22" s="27"/>
      <c r="N22" s="28" t="s">
        <v>25</v>
      </c>
      <c r="O22" s="29">
        <f>O23+O34</f>
        <v>9852691312</v>
      </c>
      <c r="P22" s="180">
        <f>P23+P34</f>
        <v>8586635993</v>
      </c>
      <c r="Q22" s="180">
        <f>Q23+Q34</f>
        <v>1073191969</v>
      </c>
      <c r="R22" s="82">
        <f t="shared" si="1"/>
        <v>9659827962</v>
      </c>
      <c r="S22" s="180">
        <f>S23+S34</f>
        <v>8580075771</v>
      </c>
      <c r="T22" s="180">
        <f>T23+T34</f>
        <v>1072563186</v>
      </c>
      <c r="U22" s="82">
        <f t="shared" si="2"/>
        <v>9652638957</v>
      </c>
      <c r="V22" s="82">
        <f t="shared" si="3"/>
        <v>200052355</v>
      </c>
      <c r="W22" s="82">
        <f t="shared" ref="W22:W23" si="4">R22-U22</f>
        <v>7189005</v>
      </c>
      <c r="X22" s="82">
        <v>0</v>
      </c>
      <c r="Y22" s="209">
        <f t="shared" si="0"/>
        <v>0.97969566399016805</v>
      </c>
    </row>
    <row r="23" spans="1:31" s="3" customFormat="1" ht="36.75" customHeight="1">
      <c r="A23" s="11">
        <v>7</v>
      </c>
      <c r="B23" s="104" t="s">
        <v>19</v>
      </c>
      <c r="C23" s="104" t="s">
        <v>19</v>
      </c>
      <c r="D23" s="12">
        <v>2</v>
      </c>
      <c r="E23" s="104" t="s">
        <v>22</v>
      </c>
      <c r="F23" s="104" t="s">
        <v>19</v>
      </c>
      <c r="G23" s="104" t="s">
        <v>12</v>
      </c>
      <c r="H23" s="104" t="s">
        <v>10</v>
      </c>
      <c r="I23" s="104" t="s">
        <v>19</v>
      </c>
      <c r="J23" s="104" t="s">
        <v>19</v>
      </c>
      <c r="K23" s="12"/>
      <c r="L23" s="12"/>
      <c r="M23" s="27"/>
      <c r="N23" s="28" t="s">
        <v>26</v>
      </c>
      <c r="O23" s="29">
        <f>SUM(O24:O33)</f>
        <v>5322691312</v>
      </c>
      <c r="P23" s="180">
        <f>SUM(P24:P33)</f>
        <v>4828727553</v>
      </c>
      <c r="Q23" s="180">
        <f>SUM(Q24:Q33)</f>
        <v>396943234</v>
      </c>
      <c r="R23" s="82">
        <f t="shared" si="1"/>
        <v>5225670787</v>
      </c>
      <c r="S23" s="180">
        <f>SUM(S24:S33)</f>
        <v>4822167331</v>
      </c>
      <c r="T23" s="180">
        <f>SUM(T24:T33)</f>
        <v>396314451</v>
      </c>
      <c r="U23" s="82">
        <f t="shared" si="2"/>
        <v>5218481782</v>
      </c>
      <c r="V23" s="82">
        <f t="shared" si="3"/>
        <v>104209530</v>
      </c>
      <c r="W23" s="82">
        <f t="shared" si="4"/>
        <v>7189005</v>
      </c>
      <c r="X23" s="82">
        <v>0</v>
      </c>
      <c r="Y23" s="209">
        <f t="shared" si="0"/>
        <v>0.98042164689035038</v>
      </c>
      <c r="AE23" s="158"/>
    </row>
    <row r="24" spans="1:31" s="3" customFormat="1" ht="36.75" customHeight="1">
      <c r="A24" s="15">
        <v>7</v>
      </c>
      <c r="B24" s="105" t="s">
        <v>19</v>
      </c>
      <c r="C24" s="105" t="s">
        <v>19</v>
      </c>
      <c r="D24" s="16">
        <v>2</v>
      </c>
      <c r="E24" s="105" t="s">
        <v>22</v>
      </c>
      <c r="F24" s="105" t="s">
        <v>19</v>
      </c>
      <c r="G24" s="16">
        <v>5</v>
      </c>
      <c r="H24" s="16">
        <v>1</v>
      </c>
      <c r="I24" s="105" t="s">
        <v>19</v>
      </c>
      <c r="J24" s="105" t="s">
        <v>19</v>
      </c>
      <c r="K24" s="105" t="s">
        <v>19</v>
      </c>
      <c r="L24" s="105" t="s">
        <v>27</v>
      </c>
      <c r="M24" s="33">
        <v>1</v>
      </c>
      <c r="N24" s="34" t="s">
        <v>28</v>
      </c>
      <c r="O24" s="35">
        <f>'SPJ FUNGSIONAL '!O30</f>
        <v>3890000000</v>
      </c>
      <c r="P24" s="81">
        <f>'[1]LRA SP2D'!$R$24</f>
        <v>3580556900</v>
      </c>
      <c r="Q24" s="81">
        <f>281404185</f>
        <v>281404185</v>
      </c>
      <c r="R24" s="81">
        <f t="shared" si="1"/>
        <v>3861961085</v>
      </c>
      <c r="S24" s="81">
        <f>'SPJ FUNGSIONAL '!P30</f>
        <v>3580556900</v>
      </c>
      <c r="T24" s="81">
        <f>'SPJ FUNGSIONAL '!Q30</f>
        <v>281404185</v>
      </c>
      <c r="U24" s="81">
        <f t="shared" si="2"/>
        <v>3861961085</v>
      </c>
      <c r="V24" s="81">
        <f t="shared" si="3"/>
        <v>28038915</v>
      </c>
      <c r="W24" s="81">
        <f>R24-U24</f>
        <v>0</v>
      </c>
      <c r="X24" s="81"/>
      <c r="Y24" s="207">
        <f t="shared" si="0"/>
        <v>0.99279205269922877</v>
      </c>
      <c r="AE24" s="227">
        <v>1059642899</v>
      </c>
    </row>
    <row r="25" spans="1:31" s="3" customFormat="1" ht="36.75" customHeight="1">
      <c r="A25" s="15">
        <v>7</v>
      </c>
      <c r="B25" s="105" t="s">
        <v>19</v>
      </c>
      <c r="C25" s="105" t="s">
        <v>19</v>
      </c>
      <c r="D25" s="16">
        <v>2</v>
      </c>
      <c r="E25" s="105" t="s">
        <v>22</v>
      </c>
      <c r="F25" s="105" t="s">
        <v>19</v>
      </c>
      <c r="G25" s="16">
        <v>5</v>
      </c>
      <c r="H25" s="16">
        <v>1</v>
      </c>
      <c r="I25" s="105" t="s">
        <v>19</v>
      </c>
      <c r="J25" s="105" t="s">
        <v>19</v>
      </c>
      <c r="K25" s="105" t="s">
        <v>22</v>
      </c>
      <c r="L25" s="105" t="s">
        <v>27</v>
      </c>
      <c r="M25" s="33">
        <v>1</v>
      </c>
      <c r="N25" s="46" t="s">
        <v>29</v>
      </c>
      <c r="O25" s="232">
        <f>'SPJ FUNGSIONAL '!O31</f>
        <v>380000000</v>
      </c>
      <c r="P25" s="231">
        <f>'[1]LRA SP2D'!$R$25</f>
        <v>338701828</v>
      </c>
      <c r="Q25" s="81">
        <f>26773154</f>
        <v>26773154</v>
      </c>
      <c r="R25" s="231">
        <f t="shared" si="1"/>
        <v>365474982</v>
      </c>
      <c r="S25" s="231">
        <f>'SPJ FUNGSIONAL '!P31</f>
        <v>333715534</v>
      </c>
      <c r="T25" s="231">
        <f>'SPJ FUNGSIONAL '!Q31</f>
        <v>26251271</v>
      </c>
      <c r="U25" s="231">
        <f t="shared" si="2"/>
        <v>359966805</v>
      </c>
      <c r="V25" s="231">
        <f t="shared" si="3"/>
        <v>20033195</v>
      </c>
      <c r="W25" s="231">
        <f t="shared" ref="W25:W36" si="5">R25-U25</f>
        <v>5508177</v>
      </c>
      <c r="X25" s="231"/>
      <c r="Y25" s="233">
        <f t="shared" si="0"/>
        <v>0.94728106578947369</v>
      </c>
      <c r="Z25" s="234"/>
      <c r="AE25" s="158">
        <v>1455495222</v>
      </c>
    </row>
    <row r="26" spans="1:31" s="3" customFormat="1" ht="36.75" customHeight="1">
      <c r="A26" s="15">
        <v>7</v>
      </c>
      <c r="B26" s="105" t="s">
        <v>19</v>
      </c>
      <c r="C26" s="105" t="s">
        <v>19</v>
      </c>
      <c r="D26" s="16">
        <v>2</v>
      </c>
      <c r="E26" s="105" t="s">
        <v>22</v>
      </c>
      <c r="F26" s="105" t="s">
        <v>19</v>
      </c>
      <c r="G26" s="16">
        <v>5</v>
      </c>
      <c r="H26" s="16">
        <v>1</v>
      </c>
      <c r="I26" s="105" t="s">
        <v>19</v>
      </c>
      <c r="J26" s="105" t="s">
        <v>19</v>
      </c>
      <c r="K26" s="106" t="s">
        <v>30</v>
      </c>
      <c r="L26" s="105" t="s">
        <v>27</v>
      </c>
      <c r="M26" s="33">
        <v>1</v>
      </c>
      <c r="N26" s="46" t="s">
        <v>31</v>
      </c>
      <c r="O26" s="47">
        <f>'SPJ FUNGSIONAL '!O32</f>
        <v>352651600</v>
      </c>
      <c r="P26" s="231">
        <f>'[1]LRA SP2D'!$R$26</f>
        <v>316030000</v>
      </c>
      <c r="Q26" s="231">
        <f>24450000</f>
        <v>24450000</v>
      </c>
      <c r="R26" s="231">
        <f t="shared" si="1"/>
        <v>340480000</v>
      </c>
      <c r="S26" s="231">
        <f>'SPJ FUNGSIONAL '!P32</f>
        <v>316030000</v>
      </c>
      <c r="T26" s="231">
        <f>'SPJ FUNGSIONAL '!Q32</f>
        <v>24450000</v>
      </c>
      <c r="U26" s="231">
        <f t="shared" si="2"/>
        <v>340480000</v>
      </c>
      <c r="V26" s="231">
        <f t="shared" si="3"/>
        <v>12171600</v>
      </c>
      <c r="W26" s="231">
        <f t="shared" si="5"/>
        <v>0</v>
      </c>
      <c r="X26" s="231">
        <v>0</v>
      </c>
      <c r="Y26" s="233">
        <f t="shared" si="0"/>
        <v>0.96548548198845541</v>
      </c>
      <c r="Z26" s="234"/>
    </row>
    <row r="27" spans="1:31" s="3" customFormat="1" ht="36.75" customHeight="1">
      <c r="A27" s="15">
        <v>7</v>
      </c>
      <c r="B27" s="105" t="s">
        <v>19</v>
      </c>
      <c r="C27" s="105" t="s">
        <v>19</v>
      </c>
      <c r="D27" s="16">
        <v>2</v>
      </c>
      <c r="E27" s="105" t="s">
        <v>22</v>
      </c>
      <c r="F27" s="105" t="s">
        <v>19</v>
      </c>
      <c r="G27" s="16">
        <v>5</v>
      </c>
      <c r="H27" s="16">
        <v>1</v>
      </c>
      <c r="I27" s="105" t="s">
        <v>19</v>
      </c>
      <c r="J27" s="105" t="s">
        <v>19</v>
      </c>
      <c r="K27" s="106" t="s">
        <v>32</v>
      </c>
      <c r="L27" s="105" t="s">
        <v>27</v>
      </c>
      <c r="M27" s="33">
        <v>1</v>
      </c>
      <c r="N27" s="46" t="s">
        <v>33</v>
      </c>
      <c r="O27" s="47">
        <f>'SPJ FUNGSIONAL '!O33</f>
        <v>80000000</v>
      </c>
      <c r="P27" s="231">
        <f>'[1]LRA SP2D'!$R$27</f>
        <v>72190000</v>
      </c>
      <c r="Q27" s="231">
        <f>5335000</f>
        <v>5335000</v>
      </c>
      <c r="R27" s="231">
        <f t="shared" si="1"/>
        <v>77525000</v>
      </c>
      <c r="S27" s="231">
        <f>'SPJ FUNGSIONAL '!P33</f>
        <v>72190000</v>
      </c>
      <c r="T27" s="231">
        <f>'SPJ FUNGSIONAL '!Q33</f>
        <v>5335000</v>
      </c>
      <c r="U27" s="231">
        <f t="shared" si="2"/>
        <v>77525000</v>
      </c>
      <c r="V27" s="231">
        <f t="shared" si="3"/>
        <v>2475000</v>
      </c>
      <c r="W27" s="231">
        <f t="shared" si="5"/>
        <v>0</v>
      </c>
      <c r="X27" s="231"/>
      <c r="Y27" s="233">
        <f t="shared" si="0"/>
        <v>0.96906250000000005</v>
      </c>
      <c r="Z27" s="234"/>
      <c r="AE27" s="158">
        <f>SUM(AE24:AE26)</f>
        <v>2515138121</v>
      </c>
    </row>
    <row r="28" spans="1:31" s="3" customFormat="1" ht="36.75" customHeight="1">
      <c r="A28" s="15">
        <v>7</v>
      </c>
      <c r="B28" s="105" t="s">
        <v>19</v>
      </c>
      <c r="C28" s="105" t="s">
        <v>19</v>
      </c>
      <c r="D28" s="16">
        <v>2</v>
      </c>
      <c r="E28" s="105" t="s">
        <v>22</v>
      </c>
      <c r="F28" s="105" t="s">
        <v>19</v>
      </c>
      <c r="G28" s="16">
        <v>5</v>
      </c>
      <c r="H28" s="16">
        <v>1</v>
      </c>
      <c r="I28" s="105" t="s">
        <v>19</v>
      </c>
      <c r="J28" s="105" t="s">
        <v>19</v>
      </c>
      <c r="K28" s="106" t="s">
        <v>34</v>
      </c>
      <c r="L28" s="105" t="s">
        <v>27</v>
      </c>
      <c r="M28" s="33">
        <v>1</v>
      </c>
      <c r="N28" s="46" t="s">
        <v>35</v>
      </c>
      <c r="O28" s="47">
        <f>'SPJ FUNGSIONAL '!O34</f>
        <v>235000000</v>
      </c>
      <c r="P28" s="231">
        <f>'[1]LRA SP2D'!$R$28</f>
        <v>209293800</v>
      </c>
      <c r="Q28" s="231">
        <v>16004820</v>
      </c>
      <c r="R28" s="231">
        <f t="shared" si="1"/>
        <v>225298620</v>
      </c>
      <c r="S28" s="231">
        <f>'SPJ FUNGSIONAL '!P34</f>
        <v>207719872</v>
      </c>
      <c r="T28" s="231">
        <f>'SPJ FUNGSIONAL '!Q34</f>
        <v>15898604</v>
      </c>
      <c r="U28" s="231">
        <f t="shared" si="2"/>
        <v>223618476</v>
      </c>
      <c r="V28" s="231">
        <f t="shared" si="3"/>
        <v>11381524</v>
      </c>
      <c r="W28" s="231">
        <f t="shared" si="5"/>
        <v>1680144</v>
      </c>
      <c r="X28" s="231"/>
      <c r="Y28" s="233">
        <f t="shared" si="0"/>
        <v>0.95156798297872336</v>
      </c>
      <c r="Z28" s="234"/>
    </row>
    <row r="29" spans="1:31" s="3" customFormat="1" ht="36.75" customHeight="1">
      <c r="A29" s="15">
        <v>7</v>
      </c>
      <c r="B29" s="105" t="s">
        <v>19</v>
      </c>
      <c r="C29" s="105" t="s">
        <v>19</v>
      </c>
      <c r="D29" s="16">
        <v>2</v>
      </c>
      <c r="E29" s="105" t="s">
        <v>22</v>
      </c>
      <c r="F29" s="105" t="s">
        <v>19</v>
      </c>
      <c r="G29" s="16">
        <v>5</v>
      </c>
      <c r="H29" s="16">
        <v>1</v>
      </c>
      <c r="I29" s="105" t="s">
        <v>19</v>
      </c>
      <c r="J29" s="105" t="s">
        <v>19</v>
      </c>
      <c r="K29" s="106" t="s">
        <v>36</v>
      </c>
      <c r="L29" s="105" t="s">
        <v>27</v>
      </c>
      <c r="M29" s="33">
        <v>1</v>
      </c>
      <c r="N29" s="34" t="s">
        <v>37</v>
      </c>
      <c r="O29" s="35">
        <f>'SPJ FUNGSIONAL '!O35</f>
        <v>3000000</v>
      </c>
      <c r="P29" s="81">
        <f>'[1]LRA SP2D'!$R$29</f>
        <v>1412803</v>
      </c>
      <c r="Q29" s="81">
        <v>191771</v>
      </c>
      <c r="R29" s="81">
        <f t="shared" si="1"/>
        <v>1604574</v>
      </c>
      <c r="S29" s="81">
        <f>'SPJ FUNGSIONAL '!P35</f>
        <v>1412803</v>
      </c>
      <c r="T29" s="81">
        <f>'SPJ FUNGSIONAL '!Q35</f>
        <v>191771</v>
      </c>
      <c r="U29" s="81">
        <f t="shared" si="2"/>
        <v>1604574</v>
      </c>
      <c r="V29" s="81">
        <f t="shared" si="3"/>
        <v>1395426</v>
      </c>
      <c r="W29" s="81">
        <f t="shared" si="5"/>
        <v>0</v>
      </c>
      <c r="X29" s="81"/>
      <c r="Y29" s="207">
        <f t="shared" si="0"/>
        <v>0.53485799999999994</v>
      </c>
    </row>
    <row r="30" spans="1:31" s="3" customFormat="1" ht="36.75" customHeight="1">
      <c r="A30" s="15">
        <v>7</v>
      </c>
      <c r="B30" s="105" t="s">
        <v>19</v>
      </c>
      <c r="C30" s="105" t="s">
        <v>19</v>
      </c>
      <c r="D30" s="16">
        <v>2</v>
      </c>
      <c r="E30" s="105" t="s">
        <v>22</v>
      </c>
      <c r="F30" s="105" t="s">
        <v>19</v>
      </c>
      <c r="G30" s="16">
        <v>5</v>
      </c>
      <c r="H30" s="16">
        <v>1</v>
      </c>
      <c r="I30" s="105" t="s">
        <v>19</v>
      </c>
      <c r="J30" s="105" t="s">
        <v>19</v>
      </c>
      <c r="K30" s="106" t="s">
        <v>38</v>
      </c>
      <c r="L30" s="105" t="s">
        <v>27</v>
      </c>
      <c r="M30" s="33">
        <v>1</v>
      </c>
      <c r="N30" s="34" t="s">
        <v>39</v>
      </c>
      <c r="O30" s="35">
        <f>'SPJ FUNGSIONAL '!O36</f>
        <v>60000</v>
      </c>
      <c r="P30" s="81">
        <f>'[1]LRA SP2D'!$R$30</f>
        <v>49093</v>
      </c>
      <c r="Q30" s="81">
        <v>4565</v>
      </c>
      <c r="R30" s="81">
        <f t="shared" si="1"/>
        <v>53658</v>
      </c>
      <c r="S30" s="81">
        <f>'SPJ FUNGSIONAL '!P36</f>
        <v>49093</v>
      </c>
      <c r="T30" s="81">
        <f>'SPJ FUNGSIONAL '!Q36</f>
        <v>3881</v>
      </c>
      <c r="U30" s="81">
        <f t="shared" si="2"/>
        <v>52974</v>
      </c>
      <c r="V30" s="81">
        <f t="shared" si="3"/>
        <v>7026</v>
      </c>
      <c r="W30" s="81">
        <f t="shared" si="5"/>
        <v>684</v>
      </c>
      <c r="X30" s="81"/>
      <c r="Y30" s="207">
        <f t="shared" si="0"/>
        <v>0.88290000000000002</v>
      </c>
    </row>
    <row r="31" spans="1:31" s="3" customFormat="1" ht="36.75" customHeight="1">
      <c r="A31" s="15">
        <v>7</v>
      </c>
      <c r="B31" s="105" t="s">
        <v>19</v>
      </c>
      <c r="C31" s="105" t="s">
        <v>19</v>
      </c>
      <c r="D31" s="16">
        <v>2</v>
      </c>
      <c r="E31" s="105" t="s">
        <v>22</v>
      </c>
      <c r="F31" s="105" t="s">
        <v>19</v>
      </c>
      <c r="G31" s="16">
        <v>5</v>
      </c>
      <c r="H31" s="16">
        <v>1</v>
      </c>
      <c r="I31" s="105" t="s">
        <v>19</v>
      </c>
      <c r="J31" s="105" t="s">
        <v>19</v>
      </c>
      <c r="K31" s="106" t="s">
        <v>40</v>
      </c>
      <c r="L31" s="105" t="s">
        <v>27</v>
      </c>
      <c r="M31" s="33">
        <v>1</v>
      </c>
      <c r="N31" s="34" t="s">
        <v>41</v>
      </c>
      <c r="O31" s="35">
        <f>'SPJ FUNGSIONAL '!O37</f>
        <v>345000000</v>
      </c>
      <c r="P31" s="81">
        <f>'[1]LRA SP2D'!$R$31</f>
        <v>281421617</v>
      </c>
      <c r="Q31" s="81">
        <f>26767153+13368828</f>
        <v>40135981</v>
      </c>
      <c r="R31" s="81">
        <f t="shared" si="1"/>
        <v>321557598</v>
      </c>
      <c r="S31" s="81">
        <f>'SPJ FUNGSIONAL '!P37</f>
        <v>281421617</v>
      </c>
      <c r="T31" s="81">
        <f>'SPJ FUNGSIONAL '!Q37</f>
        <v>40135981</v>
      </c>
      <c r="U31" s="81">
        <f t="shared" si="2"/>
        <v>321557598</v>
      </c>
      <c r="V31" s="81">
        <f t="shared" si="3"/>
        <v>23442402</v>
      </c>
      <c r="W31" s="81">
        <f t="shared" si="5"/>
        <v>0</v>
      </c>
      <c r="X31" s="81"/>
      <c r="Y31" s="207">
        <f t="shared" si="0"/>
        <v>0.93205100869565216</v>
      </c>
      <c r="AE31" s="158">
        <f>X15</f>
        <v>281511095</v>
      </c>
    </row>
    <row r="32" spans="1:31" s="3" customFormat="1" ht="36.75" customHeight="1">
      <c r="A32" s="15">
        <v>7</v>
      </c>
      <c r="B32" s="105" t="s">
        <v>19</v>
      </c>
      <c r="C32" s="105" t="s">
        <v>19</v>
      </c>
      <c r="D32" s="16">
        <v>2</v>
      </c>
      <c r="E32" s="105" t="s">
        <v>22</v>
      </c>
      <c r="F32" s="105" t="s">
        <v>19</v>
      </c>
      <c r="G32" s="16">
        <v>5</v>
      </c>
      <c r="H32" s="16">
        <v>1</v>
      </c>
      <c r="I32" s="105" t="s">
        <v>19</v>
      </c>
      <c r="J32" s="105" t="s">
        <v>19</v>
      </c>
      <c r="K32" s="36">
        <v>10</v>
      </c>
      <c r="L32" s="105" t="s">
        <v>27</v>
      </c>
      <c r="M32" s="33">
        <v>1</v>
      </c>
      <c r="N32" s="34" t="s">
        <v>42</v>
      </c>
      <c r="O32" s="35">
        <f>'SPJ FUNGSIONAL '!O38</f>
        <v>9244712</v>
      </c>
      <c r="P32" s="81">
        <f>'[1]LRA SP2D'!$R$32</f>
        <v>7267851</v>
      </c>
      <c r="Q32" s="81">
        <v>660940</v>
      </c>
      <c r="R32" s="81">
        <f t="shared" si="1"/>
        <v>7928791</v>
      </c>
      <c r="S32" s="81">
        <f>'SPJ FUNGSIONAL '!P38</f>
        <v>7267851</v>
      </c>
      <c r="T32" s="81">
        <f>'SPJ FUNGSIONAL '!Q38</f>
        <v>660940</v>
      </c>
      <c r="U32" s="81">
        <f t="shared" si="2"/>
        <v>7928791</v>
      </c>
      <c r="V32" s="81">
        <f t="shared" si="3"/>
        <v>1315921</v>
      </c>
      <c r="W32" s="81">
        <f t="shared" si="5"/>
        <v>0</v>
      </c>
      <c r="X32" s="81"/>
      <c r="Y32" s="207">
        <f t="shared" si="0"/>
        <v>0.85765689618021634</v>
      </c>
      <c r="AE32" s="3">
        <f>'SPJ FUNGSIONAL '!Y396</f>
        <v>0</v>
      </c>
    </row>
    <row r="33" spans="1:31" s="3" customFormat="1" ht="36.75" customHeight="1">
      <c r="A33" s="15">
        <v>7</v>
      </c>
      <c r="B33" s="105" t="s">
        <v>19</v>
      </c>
      <c r="C33" s="105" t="s">
        <v>19</v>
      </c>
      <c r="D33" s="16">
        <v>2</v>
      </c>
      <c r="E33" s="105" t="s">
        <v>22</v>
      </c>
      <c r="F33" s="105" t="s">
        <v>19</v>
      </c>
      <c r="G33" s="16">
        <v>5</v>
      </c>
      <c r="H33" s="16">
        <v>1</v>
      </c>
      <c r="I33" s="105" t="s">
        <v>19</v>
      </c>
      <c r="J33" s="105" t="s">
        <v>19</v>
      </c>
      <c r="K33" s="106" t="s">
        <v>43</v>
      </c>
      <c r="L33" s="105" t="s">
        <v>27</v>
      </c>
      <c r="M33" s="33">
        <v>1</v>
      </c>
      <c r="N33" s="34" t="s">
        <v>44</v>
      </c>
      <c r="O33" s="35">
        <f>'SPJ FUNGSIONAL '!O39</f>
        <v>27735000</v>
      </c>
      <c r="P33" s="81">
        <f>'[1]LRA SP2D'!$R$33</f>
        <v>21803661</v>
      </c>
      <c r="Q33" s="81">
        <v>1982818</v>
      </c>
      <c r="R33" s="81">
        <f t="shared" si="1"/>
        <v>23786479</v>
      </c>
      <c r="S33" s="81">
        <f>'SPJ FUNGSIONAL '!P39</f>
        <v>21803661</v>
      </c>
      <c r="T33" s="81">
        <f>'SPJ FUNGSIONAL '!Q39</f>
        <v>1982818</v>
      </c>
      <c r="U33" s="81">
        <f t="shared" si="2"/>
        <v>23786479</v>
      </c>
      <c r="V33" s="81">
        <f t="shared" si="3"/>
        <v>3948521</v>
      </c>
      <c r="W33" s="81">
        <f t="shared" si="5"/>
        <v>0</v>
      </c>
      <c r="X33" s="81"/>
      <c r="Y33" s="207">
        <f t="shared" si="0"/>
        <v>0.85763400036055526</v>
      </c>
      <c r="AE33" s="158">
        <f>AE31-AE32</f>
        <v>281511095</v>
      </c>
    </row>
    <row r="34" spans="1:31" s="3" customFormat="1" ht="36.75" customHeight="1">
      <c r="A34" s="11">
        <v>7</v>
      </c>
      <c r="B34" s="104" t="s">
        <v>19</v>
      </c>
      <c r="C34" s="104" t="s">
        <v>19</v>
      </c>
      <c r="D34" s="12">
        <v>2</v>
      </c>
      <c r="E34" s="104" t="s">
        <v>22</v>
      </c>
      <c r="F34" s="104" t="s">
        <v>19</v>
      </c>
      <c r="G34" s="12">
        <v>5</v>
      </c>
      <c r="H34" s="12">
        <v>1</v>
      </c>
      <c r="I34" s="104" t="s">
        <v>19</v>
      </c>
      <c r="J34" s="104" t="s">
        <v>22</v>
      </c>
      <c r="K34" s="12"/>
      <c r="L34" s="12"/>
      <c r="M34" s="27"/>
      <c r="N34" s="28" t="s">
        <v>45</v>
      </c>
      <c r="O34" s="29">
        <f t="shared" ref="O34:Q35" si="6">O35</f>
        <v>4530000000</v>
      </c>
      <c r="P34" s="180">
        <f t="shared" si="6"/>
        <v>3757908440</v>
      </c>
      <c r="Q34" s="180">
        <f t="shared" si="6"/>
        <v>676248735</v>
      </c>
      <c r="R34" s="82">
        <f t="shared" si="1"/>
        <v>4434157175</v>
      </c>
      <c r="S34" s="180">
        <f>S35</f>
        <v>3757908440</v>
      </c>
      <c r="T34" s="180">
        <f>T35</f>
        <v>676248735</v>
      </c>
      <c r="U34" s="82">
        <f t="shared" si="2"/>
        <v>4434157175</v>
      </c>
      <c r="V34" s="82">
        <f t="shared" si="3"/>
        <v>95842825</v>
      </c>
      <c r="W34" s="81">
        <f t="shared" si="5"/>
        <v>0</v>
      </c>
      <c r="X34" s="82"/>
      <c r="Y34" s="196">
        <f t="shared" si="0"/>
        <v>0.97884264348785877</v>
      </c>
    </row>
    <row r="35" spans="1:31" s="3" customFormat="1" ht="40.5" customHeight="1">
      <c r="A35" s="11">
        <v>7</v>
      </c>
      <c r="B35" s="104" t="s">
        <v>19</v>
      </c>
      <c r="C35" s="104" t="s">
        <v>19</v>
      </c>
      <c r="D35" s="12">
        <v>2</v>
      </c>
      <c r="E35" s="104" t="s">
        <v>22</v>
      </c>
      <c r="F35" s="104" t="s">
        <v>19</v>
      </c>
      <c r="G35" s="12">
        <v>5</v>
      </c>
      <c r="H35" s="12">
        <v>1</v>
      </c>
      <c r="I35" s="104" t="s">
        <v>19</v>
      </c>
      <c r="J35" s="104" t="s">
        <v>22</v>
      </c>
      <c r="K35" s="104" t="s">
        <v>19</v>
      </c>
      <c r="L35" s="12"/>
      <c r="M35" s="27"/>
      <c r="N35" s="37" t="s">
        <v>46</v>
      </c>
      <c r="O35" s="38">
        <f t="shared" si="6"/>
        <v>4530000000</v>
      </c>
      <c r="P35" s="82">
        <f t="shared" si="6"/>
        <v>3757908440</v>
      </c>
      <c r="Q35" s="82">
        <f t="shared" si="6"/>
        <v>676248735</v>
      </c>
      <c r="R35" s="82">
        <f t="shared" si="1"/>
        <v>4434157175</v>
      </c>
      <c r="S35" s="82">
        <f>S36</f>
        <v>3757908440</v>
      </c>
      <c r="T35" s="82">
        <f>T36</f>
        <v>676248735</v>
      </c>
      <c r="U35" s="82">
        <f t="shared" si="2"/>
        <v>4434157175</v>
      </c>
      <c r="V35" s="82">
        <f t="shared" si="3"/>
        <v>95842825</v>
      </c>
      <c r="W35" s="81">
        <f t="shared" si="5"/>
        <v>0</v>
      </c>
      <c r="X35" s="82"/>
      <c r="Y35" s="196">
        <f t="shared" si="0"/>
        <v>0.97884264348785877</v>
      </c>
    </row>
    <row r="36" spans="1:31" s="3" customFormat="1" ht="36.75" customHeight="1">
      <c r="A36" s="15">
        <v>7</v>
      </c>
      <c r="B36" s="105" t="s">
        <v>19</v>
      </c>
      <c r="C36" s="105" t="s">
        <v>19</v>
      </c>
      <c r="D36" s="16">
        <v>2</v>
      </c>
      <c r="E36" s="105" t="s">
        <v>22</v>
      </c>
      <c r="F36" s="105" t="s">
        <v>19</v>
      </c>
      <c r="G36" s="16">
        <v>5</v>
      </c>
      <c r="H36" s="16">
        <v>1</v>
      </c>
      <c r="I36" s="105" t="s">
        <v>19</v>
      </c>
      <c r="J36" s="105" t="s">
        <v>22</v>
      </c>
      <c r="K36" s="105" t="s">
        <v>19</v>
      </c>
      <c r="L36" s="105" t="s">
        <v>27</v>
      </c>
      <c r="M36" s="33">
        <v>1</v>
      </c>
      <c r="N36" s="39" t="s">
        <v>46</v>
      </c>
      <c r="O36" s="35">
        <f>'SPJ FUNGSIONAL '!O42</f>
        <v>4530000000</v>
      </c>
      <c r="P36" s="81">
        <f>'[1]LRA SP2D'!$R$36</f>
        <v>3757908440</v>
      </c>
      <c r="Q36" s="81">
        <f>T36</f>
        <v>676248735</v>
      </c>
      <c r="R36" s="81">
        <f t="shared" si="1"/>
        <v>4434157175</v>
      </c>
      <c r="S36" s="81">
        <f>'SPJ FUNGSIONAL '!P42</f>
        <v>3757908440</v>
      </c>
      <c r="T36" s="81">
        <f>'SPJ FUNGSIONAL '!Q42</f>
        <v>676248735</v>
      </c>
      <c r="U36" s="81">
        <f t="shared" si="2"/>
        <v>4434157175</v>
      </c>
      <c r="V36" s="81">
        <f t="shared" si="3"/>
        <v>95842825</v>
      </c>
      <c r="W36" s="81">
        <f t="shared" si="5"/>
        <v>0</v>
      </c>
      <c r="X36" s="81"/>
      <c r="Y36" s="199">
        <f t="shared" si="0"/>
        <v>0.97884264348785877</v>
      </c>
    </row>
    <row r="37" spans="1:31" s="3" customFormat="1" ht="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33"/>
      <c r="N37" s="39"/>
      <c r="O37" s="35"/>
      <c r="P37" s="100"/>
      <c r="Q37" s="100"/>
      <c r="R37" s="100"/>
      <c r="S37" s="100"/>
      <c r="T37" s="100"/>
      <c r="U37" s="100">
        <f t="shared" si="2"/>
        <v>0</v>
      </c>
      <c r="V37" s="100"/>
      <c r="W37" s="100"/>
      <c r="X37" s="100"/>
      <c r="Y37" s="207"/>
    </row>
    <row r="38" spans="1:31" s="3" customFormat="1" ht="48.75" customHeight="1">
      <c r="A38" s="9">
        <v>7</v>
      </c>
      <c r="B38" s="102" t="s">
        <v>19</v>
      </c>
      <c r="C38" s="102" t="s">
        <v>19</v>
      </c>
      <c r="D38" s="10">
        <v>2</v>
      </c>
      <c r="E38" s="102" t="s">
        <v>34</v>
      </c>
      <c r="F38" s="10"/>
      <c r="G38" s="10"/>
      <c r="H38" s="10"/>
      <c r="I38" s="10"/>
      <c r="J38" s="10"/>
      <c r="K38" s="10"/>
      <c r="L38" s="10"/>
      <c r="M38" s="24"/>
      <c r="N38" s="25" t="s">
        <v>47</v>
      </c>
      <c r="O38" s="26">
        <f>O40+O46+O60+O66</f>
        <v>511669850</v>
      </c>
      <c r="P38" s="26">
        <f>P39+P40+P46+P60+P66</f>
        <v>1083653593</v>
      </c>
      <c r="Q38" s="26">
        <f t="shared" ref="Q38:U38" si="7">Q40+Q46+Q60+Q66</f>
        <v>126598500</v>
      </c>
      <c r="R38" s="26">
        <f>R39+R40+R46+R60+R66</f>
        <v>1210252093</v>
      </c>
      <c r="S38" s="26">
        <f t="shared" si="7"/>
        <v>393152893</v>
      </c>
      <c r="T38" s="26">
        <f t="shared" si="7"/>
        <v>56250700</v>
      </c>
      <c r="U38" s="26">
        <f t="shared" si="7"/>
        <v>449403593</v>
      </c>
      <c r="V38" s="163">
        <f t="shared" si="3"/>
        <v>62266257</v>
      </c>
      <c r="W38" s="163"/>
      <c r="X38" s="163">
        <f>X40+X46+X60+X66</f>
        <v>-11151500</v>
      </c>
      <c r="Y38" s="211">
        <f t="shared" si="0"/>
        <v>0.87830774668470302</v>
      </c>
    </row>
    <row r="39" spans="1:31" s="3" customFormat="1" ht="30" customHeight="1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7"/>
      <c r="N39" s="28" t="s">
        <v>230</v>
      </c>
      <c r="O39" s="29"/>
      <c r="P39" s="82">
        <v>772000000</v>
      </c>
      <c r="Q39" s="82"/>
      <c r="R39" s="82">
        <f>SUM(P39:Q39)</f>
        <v>772000000</v>
      </c>
      <c r="S39" s="82"/>
      <c r="T39" s="82"/>
      <c r="U39" s="82"/>
      <c r="V39" s="82"/>
      <c r="W39" s="82"/>
      <c r="X39" s="82"/>
      <c r="Y39" s="209"/>
    </row>
    <row r="40" spans="1:31" s="3" customFormat="1" ht="39.75" customHeight="1">
      <c r="A40" s="13">
        <v>7</v>
      </c>
      <c r="B40" s="103" t="s">
        <v>19</v>
      </c>
      <c r="C40" s="103" t="s">
        <v>19</v>
      </c>
      <c r="D40" s="14">
        <v>2</v>
      </c>
      <c r="E40" s="103" t="s">
        <v>34</v>
      </c>
      <c r="F40" s="103" t="s">
        <v>19</v>
      </c>
      <c r="G40" s="14"/>
      <c r="H40" s="14"/>
      <c r="I40" s="14"/>
      <c r="J40" s="14"/>
      <c r="K40" s="14"/>
      <c r="L40" s="14"/>
      <c r="M40" s="30"/>
      <c r="N40" s="41" t="s">
        <v>48</v>
      </c>
      <c r="O40" s="32">
        <f>O41</f>
        <v>32621700</v>
      </c>
      <c r="P40" s="165">
        <f t="shared" ref="P40:Q43" si="8">P41</f>
        <v>24395700</v>
      </c>
      <c r="Q40" s="165">
        <f t="shared" si="8"/>
        <v>6072800</v>
      </c>
      <c r="R40" s="165">
        <f t="shared" si="1"/>
        <v>30468500</v>
      </c>
      <c r="S40" s="165">
        <f t="shared" ref="S40:T43" si="9">S41</f>
        <v>28345700</v>
      </c>
      <c r="T40" s="165">
        <f t="shared" si="9"/>
        <v>3313800</v>
      </c>
      <c r="U40" s="165">
        <f t="shared" si="2"/>
        <v>31659500</v>
      </c>
      <c r="V40" s="165">
        <f t="shared" si="3"/>
        <v>962200</v>
      </c>
      <c r="W40" s="165"/>
      <c r="X40" s="165">
        <f t="shared" ref="X40:X90" si="10">R40-U40</f>
        <v>-1191000</v>
      </c>
      <c r="Y40" s="213">
        <f t="shared" si="0"/>
        <v>0.97050429622000078</v>
      </c>
    </row>
    <row r="41" spans="1:31" s="3" customFormat="1" ht="38.25" customHeight="1">
      <c r="A41" s="11">
        <v>7</v>
      </c>
      <c r="B41" s="104" t="s">
        <v>19</v>
      </c>
      <c r="C41" s="104" t="s">
        <v>19</v>
      </c>
      <c r="D41" s="12">
        <v>2</v>
      </c>
      <c r="E41" s="104" t="s">
        <v>34</v>
      </c>
      <c r="F41" s="104" t="s">
        <v>19</v>
      </c>
      <c r="G41" s="12">
        <v>5</v>
      </c>
      <c r="H41" s="12">
        <v>1</v>
      </c>
      <c r="I41" s="104" t="s">
        <v>22</v>
      </c>
      <c r="J41" s="12"/>
      <c r="K41" s="12"/>
      <c r="L41" s="12"/>
      <c r="M41" s="27"/>
      <c r="N41" s="42" t="s">
        <v>49</v>
      </c>
      <c r="O41" s="29">
        <f>O42</f>
        <v>32621700</v>
      </c>
      <c r="P41" s="180">
        <f t="shared" si="8"/>
        <v>24395700</v>
      </c>
      <c r="Q41" s="180">
        <f t="shared" si="8"/>
        <v>6072800</v>
      </c>
      <c r="R41" s="82">
        <f t="shared" si="1"/>
        <v>30468500</v>
      </c>
      <c r="S41" s="180">
        <f t="shared" si="9"/>
        <v>28345700</v>
      </c>
      <c r="T41" s="180">
        <f t="shared" si="9"/>
        <v>3313800</v>
      </c>
      <c r="U41" s="82">
        <f t="shared" si="2"/>
        <v>31659500</v>
      </c>
      <c r="V41" s="82">
        <f t="shared" si="3"/>
        <v>962200</v>
      </c>
      <c r="W41" s="82"/>
      <c r="X41" s="82">
        <f t="shared" si="10"/>
        <v>-1191000</v>
      </c>
      <c r="Y41" s="209">
        <f t="shared" si="0"/>
        <v>0.97050429622000078</v>
      </c>
    </row>
    <row r="42" spans="1:31" s="3" customFormat="1" ht="38.25" customHeight="1">
      <c r="A42" s="11">
        <v>7</v>
      </c>
      <c r="B42" s="104" t="s">
        <v>19</v>
      </c>
      <c r="C42" s="104" t="s">
        <v>19</v>
      </c>
      <c r="D42" s="12">
        <v>2</v>
      </c>
      <c r="E42" s="104" t="s">
        <v>34</v>
      </c>
      <c r="F42" s="104" t="s">
        <v>19</v>
      </c>
      <c r="G42" s="12">
        <v>5</v>
      </c>
      <c r="H42" s="12">
        <v>1</v>
      </c>
      <c r="I42" s="104" t="s">
        <v>22</v>
      </c>
      <c r="J42" s="104" t="s">
        <v>19</v>
      </c>
      <c r="K42" s="12"/>
      <c r="L42" s="12"/>
      <c r="M42" s="27"/>
      <c r="N42" s="42" t="s">
        <v>50</v>
      </c>
      <c r="O42" s="29">
        <f>O43</f>
        <v>32621700</v>
      </c>
      <c r="P42" s="180">
        <f t="shared" si="8"/>
        <v>24395700</v>
      </c>
      <c r="Q42" s="180">
        <f t="shared" si="8"/>
        <v>6072800</v>
      </c>
      <c r="R42" s="82">
        <f t="shared" si="1"/>
        <v>30468500</v>
      </c>
      <c r="S42" s="180">
        <f t="shared" si="9"/>
        <v>28345700</v>
      </c>
      <c r="T42" s="180">
        <f t="shared" si="9"/>
        <v>3313800</v>
      </c>
      <c r="U42" s="82">
        <f t="shared" si="2"/>
        <v>31659500</v>
      </c>
      <c r="V42" s="82">
        <f t="shared" si="3"/>
        <v>962200</v>
      </c>
      <c r="W42" s="82"/>
      <c r="X42" s="82">
        <f t="shared" si="10"/>
        <v>-1191000</v>
      </c>
      <c r="Y42" s="209">
        <f t="shared" si="0"/>
        <v>0.97050429622000078</v>
      </c>
    </row>
    <row r="43" spans="1:31" s="3" customFormat="1" ht="38.25" customHeight="1">
      <c r="A43" s="11">
        <v>7</v>
      </c>
      <c r="B43" s="104" t="s">
        <v>19</v>
      </c>
      <c r="C43" s="104" t="s">
        <v>19</v>
      </c>
      <c r="D43" s="12">
        <v>2</v>
      </c>
      <c r="E43" s="104" t="s">
        <v>34</v>
      </c>
      <c r="F43" s="104" t="s">
        <v>19</v>
      </c>
      <c r="G43" s="12">
        <v>5</v>
      </c>
      <c r="H43" s="12">
        <v>1</v>
      </c>
      <c r="I43" s="104" t="s">
        <v>22</v>
      </c>
      <c r="J43" s="104" t="s">
        <v>19</v>
      </c>
      <c r="K43" s="104" t="s">
        <v>19</v>
      </c>
      <c r="L43" s="12"/>
      <c r="M43" s="27"/>
      <c r="N43" s="42" t="s">
        <v>51</v>
      </c>
      <c r="O43" s="29">
        <f>O44</f>
        <v>32621700</v>
      </c>
      <c r="P43" s="180">
        <f t="shared" si="8"/>
        <v>24395700</v>
      </c>
      <c r="Q43" s="180">
        <f t="shared" si="8"/>
        <v>6072800</v>
      </c>
      <c r="R43" s="82">
        <f t="shared" si="1"/>
        <v>30468500</v>
      </c>
      <c r="S43" s="180">
        <f t="shared" si="9"/>
        <v>28345700</v>
      </c>
      <c r="T43" s="180">
        <f t="shared" si="9"/>
        <v>3313800</v>
      </c>
      <c r="U43" s="82">
        <f t="shared" si="2"/>
        <v>31659500</v>
      </c>
      <c r="V43" s="82">
        <f t="shared" si="3"/>
        <v>962200</v>
      </c>
      <c r="W43" s="82"/>
      <c r="X43" s="82">
        <f t="shared" si="10"/>
        <v>-1191000</v>
      </c>
      <c r="Y43" s="209">
        <f t="shared" si="0"/>
        <v>0.97050429622000078</v>
      </c>
    </row>
    <row r="44" spans="1:31" s="3" customFormat="1" ht="38.25" customHeight="1">
      <c r="A44" s="15">
        <v>7</v>
      </c>
      <c r="B44" s="105" t="s">
        <v>19</v>
      </c>
      <c r="C44" s="105" t="s">
        <v>19</v>
      </c>
      <c r="D44" s="16">
        <v>2</v>
      </c>
      <c r="E44" s="105" t="s">
        <v>34</v>
      </c>
      <c r="F44" s="105" t="s">
        <v>19</v>
      </c>
      <c r="G44" s="16">
        <v>5</v>
      </c>
      <c r="H44" s="16">
        <v>1</v>
      </c>
      <c r="I44" s="105" t="s">
        <v>22</v>
      </c>
      <c r="J44" s="105" t="s">
        <v>19</v>
      </c>
      <c r="K44" s="105" t="s">
        <v>19</v>
      </c>
      <c r="L44" s="105" t="s">
        <v>52</v>
      </c>
      <c r="M44" s="33">
        <v>1</v>
      </c>
      <c r="N44" s="34" t="s">
        <v>53</v>
      </c>
      <c r="O44" s="35">
        <f>'SPJ FUNGSIONAL '!O50</f>
        <v>32621700</v>
      </c>
      <c r="P44" s="81">
        <f>'[1]LRA SP2D'!$R$44</f>
        <v>24395700</v>
      </c>
      <c r="Q44" s="81">
        <v>6072800</v>
      </c>
      <c r="R44" s="81">
        <f t="shared" si="1"/>
        <v>30468500</v>
      </c>
      <c r="S44" s="81">
        <f>'SPJ FUNGSIONAL '!V50</f>
        <v>28345700</v>
      </c>
      <c r="T44" s="81">
        <f>'SPJ FUNGSIONAL '!W50</f>
        <v>3313800</v>
      </c>
      <c r="U44" s="81">
        <f t="shared" si="2"/>
        <v>31659500</v>
      </c>
      <c r="V44" s="81">
        <f t="shared" si="3"/>
        <v>962200</v>
      </c>
      <c r="W44" s="81"/>
      <c r="X44" s="81">
        <f t="shared" si="10"/>
        <v>-1191000</v>
      </c>
      <c r="Y44" s="207">
        <f t="shared" si="0"/>
        <v>0.97050429622000078</v>
      </c>
    </row>
    <row r="45" spans="1:31" s="3" customFormat="1" ht="25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33"/>
      <c r="N45" s="34"/>
      <c r="O45" s="35"/>
      <c r="P45" s="81"/>
      <c r="Q45" s="81"/>
      <c r="R45" s="81">
        <f t="shared" si="1"/>
        <v>0</v>
      </c>
      <c r="S45" s="81"/>
      <c r="T45" s="81"/>
      <c r="U45" s="81">
        <f t="shared" si="2"/>
        <v>0</v>
      </c>
      <c r="V45" s="81">
        <f t="shared" si="3"/>
        <v>0</v>
      </c>
      <c r="W45" s="81">
        <f t="shared" ref="W45:W74" si="11">R45-U45</f>
        <v>0</v>
      </c>
      <c r="X45" s="81">
        <f t="shared" si="10"/>
        <v>0</v>
      </c>
      <c r="Y45" s="207"/>
    </row>
    <row r="46" spans="1:31" s="3" customFormat="1" ht="36" customHeight="1">
      <c r="A46" s="13">
        <v>7</v>
      </c>
      <c r="B46" s="103" t="s">
        <v>19</v>
      </c>
      <c r="C46" s="103" t="s">
        <v>19</v>
      </c>
      <c r="D46" s="14">
        <v>2</v>
      </c>
      <c r="E46" s="103" t="s">
        <v>34</v>
      </c>
      <c r="F46" s="103" t="s">
        <v>54</v>
      </c>
      <c r="G46" s="14"/>
      <c r="H46" s="14"/>
      <c r="I46" s="14"/>
      <c r="J46" s="14"/>
      <c r="K46" s="14"/>
      <c r="L46" s="14"/>
      <c r="M46" s="30"/>
      <c r="N46" s="41" t="s">
        <v>55</v>
      </c>
      <c r="O46" s="32">
        <f>O47</f>
        <v>175804400</v>
      </c>
      <c r="P46" s="165">
        <f>P47</f>
        <v>133873150</v>
      </c>
      <c r="Q46" s="165">
        <f>Q47</f>
        <v>30480500</v>
      </c>
      <c r="R46" s="165">
        <f t="shared" si="1"/>
        <v>164353650</v>
      </c>
      <c r="S46" s="165">
        <f>S47</f>
        <v>143943650</v>
      </c>
      <c r="T46" s="165">
        <f>T47</f>
        <v>22460500</v>
      </c>
      <c r="U46" s="165">
        <f t="shared" si="2"/>
        <v>166404150</v>
      </c>
      <c r="V46" s="165">
        <f t="shared" si="3"/>
        <v>9400250</v>
      </c>
      <c r="W46" s="165"/>
      <c r="X46" s="165">
        <f>R46-U46</f>
        <v>-2050500</v>
      </c>
      <c r="Y46" s="213">
        <f t="shared" si="0"/>
        <v>0.94653006409395901</v>
      </c>
    </row>
    <row r="47" spans="1:31" s="3" customFormat="1" ht="36" customHeight="1">
      <c r="A47" s="11">
        <v>7</v>
      </c>
      <c r="B47" s="104" t="s">
        <v>19</v>
      </c>
      <c r="C47" s="104" t="s">
        <v>19</v>
      </c>
      <c r="D47" s="12">
        <v>2</v>
      </c>
      <c r="E47" s="104" t="s">
        <v>34</v>
      </c>
      <c r="F47" s="104" t="s">
        <v>54</v>
      </c>
      <c r="G47" s="12">
        <v>5</v>
      </c>
      <c r="H47" s="12">
        <v>1</v>
      </c>
      <c r="I47" s="104" t="s">
        <v>22</v>
      </c>
      <c r="J47" s="12"/>
      <c r="K47" s="12"/>
      <c r="L47" s="12"/>
      <c r="M47" s="27"/>
      <c r="N47" s="42" t="s">
        <v>49</v>
      </c>
      <c r="O47" s="29">
        <f>O48+O56</f>
        <v>175804400</v>
      </c>
      <c r="P47" s="180">
        <f>P48+P56</f>
        <v>133873150</v>
      </c>
      <c r="Q47" s="180">
        <f>Q48+Q56</f>
        <v>30480500</v>
      </c>
      <c r="R47" s="82">
        <f t="shared" si="1"/>
        <v>164353650</v>
      </c>
      <c r="S47" s="180">
        <f>S48+S56</f>
        <v>143943650</v>
      </c>
      <c r="T47" s="180">
        <f>T48+T56</f>
        <v>22460500</v>
      </c>
      <c r="U47" s="82">
        <f t="shared" si="2"/>
        <v>166404150</v>
      </c>
      <c r="V47" s="82">
        <f t="shared" si="3"/>
        <v>9400250</v>
      </c>
      <c r="W47" s="82"/>
      <c r="X47" s="82">
        <f t="shared" si="10"/>
        <v>-2050500</v>
      </c>
      <c r="Y47" s="209">
        <f t="shared" si="0"/>
        <v>0.94653006409395901</v>
      </c>
    </row>
    <row r="48" spans="1:31" s="3" customFormat="1" ht="36" customHeight="1">
      <c r="A48" s="11">
        <v>7</v>
      </c>
      <c r="B48" s="104" t="s">
        <v>19</v>
      </c>
      <c r="C48" s="104" t="s">
        <v>19</v>
      </c>
      <c r="D48" s="12">
        <v>2</v>
      </c>
      <c r="E48" s="104" t="s">
        <v>34</v>
      </c>
      <c r="F48" s="104" t="s">
        <v>54</v>
      </c>
      <c r="G48" s="12">
        <v>5</v>
      </c>
      <c r="H48" s="12">
        <v>1</v>
      </c>
      <c r="I48" s="104" t="s">
        <v>22</v>
      </c>
      <c r="J48" s="104" t="s">
        <v>19</v>
      </c>
      <c r="K48" s="12"/>
      <c r="L48" s="12"/>
      <c r="M48" s="27"/>
      <c r="N48" s="42" t="s">
        <v>50</v>
      </c>
      <c r="O48" s="29">
        <f>O49</f>
        <v>174004400</v>
      </c>
      <c r="P48" s="180">
        <f>P49</f>
        <v>132673150</v>
      </c>
      <c r="Q48" s="180">
        <f>Q49</f>
        <v>30180500</v>
      </c>
      <c r="R48" s="82">
        <f t="shared" si="1"/>
        <v>162853650</v>
      </c>
      <c r="S48" s="180">
        <f>S49</f>
        <v>142743650</v>
      </c>
      <c r="T48" s="180">
        <f>T49</f>
        <v>22160500</v>
      </c>
      <c r="U48" s="82">
        <f t="shared" si="2"/>
        <v>164904150</v>
      </c>
      <c r="V48" s="82">
        <f t="shared" si="3"/>
        <v>9100250</v>
      </c>
      <c r="W48" s="82"/>
      <c r="X48" s="82">
        <f t="shared" si="10"/>
        <v>-2050500</v>
      </c>
      <c r="Y48" s="209">
        <f t="shared" si="0"/>
        <v>0.94770103514623771</v>
      </c>
      <c r="AC48" s="158">
        <f>R15</f>
        <v>18593156355</v>
      </c>
    </row>
    <row r="49" spans="1:29" s="3" customFormat="1" ht="36" customHeight="1">
      <c r="A49" s="11">
        <v>7</v>
      </c>
      <c r="B49" s="104" t="s">
        <v>19</v>
      </c>
      <c r="C49" s="104" t="s">
        <v>19</v>
      </c>
      <c r="D49" s="12">
        <v>2</v>
      </c>
      <c r="E49" s="104" t="s">
        <v>34</v>
      </c>
      <c r="F49" s="104" t="s">
        <v>54</v>
      </c>
      <c r="G49" s="12">
        <v>5</v>
      </c>
      <c r="H49" s="12">
        <v>1</v>
      </c>
      <c r="I49" s="104" t="s">
        <v>22</v>
      </c>
      <c r="J49" s="104" t="s">
        <v>19</v>
      </c>
      <c r="K49" s="104" t="s">
        <v>19</v>
      </c>
      <c r="L49" s="12"/>
      <c r="M49" s="27"/>
      <c r="N49" s="42" t="s">
        <v>51</v>
      </c>
      <c r="O49" s="29">
        <f>SUM(O50:O55)</f>
        <v>174004400</v>
      </c>
      <c r="P49" s="180">
        <f>SUM(P50:P55)</f>
        <v>132673150</v>
      </c>
      <c r="Q49" s="180">
        <f>SUM(Q50:Q55)</f>
        <v>30180500</v>
      </c>
      <c r="R49" s="82">
        <f t="shared" si="1"/>
        <v>162853650</v>
      </c>
      <c r="S49" s="180">
        <f>SUM(S50:S55)</f>
        <v>142743650</v>
      </c>
      <c r="T49" s="180">
        <f>SUM(T50:T55)</f>
        <v>22160500</v>
      </c>
      <c r="U49" s="82">
        <f t="shared" si="2"/>
        <v>164904150</v>
      </c>
      <c r="V49" s="82">
        <f t="shared" si="3"/>
        <v>9100250</v>
      </c>
      <c r="W49" s="82"/>
      <c r="X49" s="82">
        <f t="shared" si="10"/>
        <v>-2050500</v>
      </c>
      <c r="Y49" s="209">
        <f t="shared" si="0"/>
        <v>0.94770103514623771</v>
      </c>
      <c r="AC49" s="158">
        <f>U15</f>
        <v>18304456255</v>
      </c>
    </row>
    <row r="50" spans="1:29" s="3" customFormat="1" ht="36" customHeight="1">
      <c r="A50" s="15">
        <v>7</v>
      </c>
      <c r="B50" s="105" t="s">
        <v>19</v>
      </c>
      <c r="C50" s="105" t="s">
        <v>19</v>
      </c>
      <c r="D50" s="16">
        <v>2</v>
      </c>
      <c r="E50" s="105" t="s">
        <v>34</v>
      </c>
      <c r="F50" s="105" t="s">
        <v>54</v>
      </c>
      <c r="G50" s="16">
        <v>5</v>
      </c>
      <c r="H50" s="16">
        <v>1</v>
      </c>
      <c r="I50" s="105" t="s">
        <v>22</v>
      </c>
      <c r="J50" s="105" t="s">
        <v>19</v>
      </c>
      <c r="K50" s="105" t="s">
        <v>19</v>
      </c>
      <c r="L50" s="105" t="s">
        <v>56</v>
      </c>
      <c r="M50" s="33">
        <v>4</v>
      </c>
      <c r="N50" s="34" t="s">
        <v>57</v>
      </c>
      <c r="O50" s="35">
        <f>'SPJ FUNGSIONAL '!O56</f>
        <v>25206400</v>
      </c>
      <c r="P50" s="81">
        <f>'[1]LRA SP2D'!$R$50</f>
        <v>21672650</v>
      </c>
      <c r="Q50" s="81">
        <v>2788500</v>
      </c>
      <c r="R50" s="81">
        <f t="shared" si="1"/>
        <v>24461150</v>
      </c>
      <c r="S50" s="81">
        <f>'SPJ FUNGSIONAL '!V56</f>
        <v>22727650</v>
      </c>
      <c r="T50" s="81">
        <f>'SPJ FUNGSIONAL '!W56</f>
        <v>1733500</v>
      </c>
      <c r="U50" s="81">
        <f t="shared" si="2"/>
        <v>24461150</v>
      </c>
      <c r="V50" s="81">
        <f t="shared" si="3"/>
        <v>745250</v>
      </c>
      <c r="W50" s="81"/>
      <c r="X50" s="81">
        <f>R50-U50</f>
        <v>0</v>
      </c>
      <c r="Y50" s="207">
        <f t="shared" si="0"/>
        <v>0.97043409610257714</v>
      </c>
    </row>
    <row r="51" spans="1:29" s="3" customFormat="1" ht="36" customHeight="1">
      <c r="A51" s="15">
        <v>7</v>
      </c>
      <c r="B51" s="105" t="s">
        <v>19</v>
      </c>
      <c r="C51" s="105" t="s">
        <v>19</v>
      </c>
      <c r="D51" s="16">
        <v>2</v>
      </c>
      <c r="E51" s="105" t="s">
        <v>34</v>
      </c>
      <c r="F51" s="105" t="s">
        <v>54</v>
      </c>
      <c r="G51" s="16">
        <v>5</v>
      </c>
      <c r="H51" s="16">
        <v>1</v>
      </c>
      <c r="I51" s="105" t="s">
        <v>22</v>
      </c>
      <c r="J51" s="105" t="s">
        <v>19</v>
      </c>
      <c r="K51" s="105" t="s">
        <v>19</v>
      </c>
      <c r="L51" s="105" t="s">
        <v>56</v>
      </c>
      <c r="M51" s="33">
        <v>5</v>
      </c>
      <c r="N51" s="39" t="s">
        <v>58</v>
      </c>
      <c r="O51" s="35">
        <f>'SPJ FUNGSIONAL '!O57</f>
        <v>40849000</v>
      </c>
      <c r="P51" s="81">
        <f>'[1]LRA SP2D'!$R$51</f>
        <v>29841500</v>
      </c>
      <c r="Q51" s="81">
        <v>7620500</v>
      </c>
      <c r="R51" s="81">
        <f t="shared" si="1"/>
        <v>37462000</v>
      </c>
      <c r="S51" s="81">
        <f>'SPJ FUNGSIONAL '!V57</f>
        <v>32780500</v>
      </c>
      <c r="T51" s="81">
        <f>'SPJ FUNGSIONAL '!W57</f>
        <v>4791500</v>
      </c>
      <c r="U51" s="81">
        <f t="shared" si="2"/>
        <v>37572000</v>
      </c>
      <c r="V51" s="81">
        <f t="shared" si="3"/>
        <v>3277000</v>
      </c>
      <c r="W51" s="81"/>
      <c r="X51" s="81">
        <f t="shared" si="10"/>
        <v>-110000</v>
      </c>
      <c r="Y51" s="207">
        <f t="shared" si="0"/>
        <v>0.91977771793679164</v>
      </c>
      <c r="AC51" s="158">
        <f>AC48-AC49</f>
        <v>288700100</v>
      </c>
    </row>
    <row r="52" spans="1:29" s="3" customFormat="1" ht="36" customHeight="1">
      <c r="A52" s="15">
        <v>7</v>
      </c>
      <c r="B52" s="105" t="s">
        <v>19</v>
      </c>
      <c r="C52" s="105" t="s">
        <v>19</v>
      </c>
      <c r="D52" s="16">
        <v>2</v>
      </c>
      <c r="E52" s="105" t="s">
        <v>34</v>
      </c>
      <c r="F52" s="105" t="s">
        <v>54</v>
      </c>
      <c r="G52" s="16">
        <v>5</v>
      </c>
      <c r="H52" s="16">
        <v>1</v>
      </c>
      <c r="I52" s="105" t="s">
        <v>22</v>
      </c>
      <c r="J52" s="105" t="s">
        <v>19</v>
      </c>
      <c r="K52" s="105" t="s">
        <v>19</v>
      </c>
      <c r="L52" s="105" t="s">
        <v>56</v>
      </c>
      <c r="M52" s="33">
        <v>6</v>
      </c>
      <c r="N52" s="34" t="s">
        <v>62</v>
      </c>
      <c r="O52" s="35">
        <f>'SPJ FUNGSIONAL '!O58</f>
        <v>115000</v>
      </c>
      <c r="P52" s="81">
        <f>'[1]LRA SP2D'!$R$52</f>
        <v>115000</v>
      </c>
      <c r="Q52" s="81"/>
      <c r="R52" s="81">
        <f t="shared" si="1"/>
        <v>115000</v>
      </c>
      <c r="S52" s="81">
        <f>'SPJ FUNGSIONAL '!V58</f>
        <v>115000</v>
      </c>
      <c r="T52" s="81">
        <f>'SPJ FUNGSIONAL '!W58</f>
        <v>0</v>
      </c>
      <c r="U52" s="81">
        <f t="shared" si="2"/>
        <v>115000</v>
      </c>
      <c r="V52" s="81">
        <f t="shared" si="3"/>
        <v>0</v>
      </c>
      <c r="W52" s="81">
        <f t="shared" si="11"/>
        <v>0</v>
      </c>
      <c r="X52" s="81">
        <f t="shared" si="10"/>
        <v>0</v>
      </c>
      <c r="Y52" s="207">
        <f t="shared" si="0"/>
        <v>1</v>
      </c>
    </row>
    <row r="53" spans="1:29" s="3" customFormat="1" ht="36" customHeight="1">
      <c r="A53" s="15">
        <v>7</v>
      </c>
      <c r="B53" s="105" t="s">
        <v>19</v>
      </c>
      <c r="C53" s="105" t="s">
        <v>19</v>
      </c>
      <c r="D53" s="16">
        <v>2</v>
      </c>
      <c r="E53" s="105" t="s">
        <v>34</v>
      </c>
      <c r="F53" s="105" t="s">
        <v>54</v>
      </c>
      <c r="G53" s="16">
        <v>5</v>
      </c>
      <c r="H53" s="16">
        <v>1</v>
      </c>
      <c r="I53" s="105" t="s">
        <v>22</v>
      </c>
      <c r="J53" s="105" t="s">
        <v>19</v>
      </c>
      <c r="K53" s="105" t="s">
        <v>19</v>
      </c>
      <c r="L53" s="105" t="s">
        <v>56</v>
      </c>
      <c r="M53" s="33">
        <v>9</v>
      </c>
      <c r="N53" s="34" t="s">
        <v>59</v>
      </c>
      <c r="O53" s="35">
        <f>'SPJ FUNGSIONAL '!O59</f>
        <v>47550000</v>
      </c>
      <c r="P53" s="81">
        <f>'[1]LRA SP2D'!$R$53</f>
        <v>39421000</v>
      </c>
      <c r="Q53" s="81">
        <v>7060000</v>
      </c>
      <c r="R53" s="81">
        <f t="shared" si="1"/>
        <v>46481000</v>
      </c>
      <c r="S53" s="81">
        <f>'SPJ FUNGSIONAL '!V59</f>
        <v>40911000</v>
      </c>
      <c r="T53" s="81">
        <f>'SPJ FUNGSIONAL '!W59</f>
        <v>5570000</v>
      </c>
      <c r="U53" s="81">
        <f t="shared" si="2"/>
        <v>46481000</v>
      </c>
      <c r="V53" s="81">
        <f t="shared" si="3"/>
        <v>1069000</v>
      </c>
      <c r="W53" s="81">
        <f t="shared" si="11"/>
        <v>0</v>
      </c>
      <c r="X53" s="81">
        <f t="shared" si="10"/>
        <v>0</v>
      </c>
      <c r="Y53" s="207">
        <f t="shared" si="0"/>
        <v>0.97751840168243953</v>
      </c>
    </row>
    <row r="54" spans="1:29" s="3" customFormat="1" ht="36" customHeight="1">
      <c r="A54" s="15">
        <v>7</v>
      </c>
      <c r="B54" s="105" t="s">
        <v>19</v>
      </c>
      <c r="C54" s="105" t="s">
        <v>19</v>
      </c>
      <c r="D54" s="16">
        <v>2</v>
      </c>
      <c r="E54" s="105" t="s">
        <v>34</v>
      </c>
      <c r="F54" s="105" t="s">
        <v>54</v>
      </c>
      <c r="G54" s="16">
        <v>5</v>
      </c>
      <c r="H54" s="16">
        <v>1</v>
      </c>
      <c r="I54" s="105" t="s">
        <v>22</v>
      </c>
      <c r="J54" s="105" t="s">
        <v>19</v>
      </c>
      <c r="K54" s="105" t="s">
        <v>19</v>
      </c>
      <c r="L54" s="105" t="s">
        <v>52</v>
      </c>
      <c r="M54" s="33">
        <v>0</v>
      </c>
      <c r="N54" s="34" t="s">
        <v>173</v>
      </c>
      <c r="O54" s="35">
        <f>'SPJ FUNGSIONAL '!O60</f>
        <v>24193000</v>
      </c>
      <c r="P54" s="81">
        <f>'[1]LRA SP2D'!$R$54</f>
        <v>17242500</v>
      </c>
      <c r="Q54" s="81">
        <f>4951000</f>
        <v>4951000</v>
      </c>
      <c r="R54" s="81">
        <f t="shared" si="1"/>
        <v>22193500</v>
      </c>
      <c r="S54" s="81">
        <f>'SPJ FUNGSIONAL '!V60</f>
        <v>18353500</v>
      </c>
      <c r="T54" s="193">
        <f>'SPJ FUNGSIONAL '!W60</f>
        <v>3825000</v>
      </c>
      <c r="U54" s="81">
        <f t="shared" si="2"/>
        <v>22178500</v>
      </c>
      <c r="V54" s="81">
        <f t="shared" si="3"/>
        <v>2014500</v>
      </c>
      <c r="W54" s="81"/>
      <c r="X54" s="81"/>
      <c r="Y54" s="207">
        <f t="shared" si="0"/>
        <v>0.91673211259455212</v>
      </c>
    </row>
    <row r="55" spans="1:29" s="3" customFormat="1" ht="36" customHeight="1">
      <c r="A55" s="15">
        <v>7</v>
      </c>
      <c r="B55" s="105" t="s">
        <v>19</v>
      </c>
      <c r="C55" s="105" t="s">
        <v>19</v>
      </c>
      <c r="D55" s="16">
        <v>2</v>
      </c>
      <c r="E55" s="105" t="s">
        <v>34</v>
      </c>
      <c r="F55" s="105" t="s">
        <v>54</v>
      </c>
      <c r="G55" s="16">
        <v>5</v>
      </c>
      <c r="H55" s="16">
        <v>1</v>
      </c>
      <c r="I55" s="105" t="s">
        <v>22</v>
      </c>
      <c r="J55" s="105" t="s">
        <v>19</v>
      </c>
      <c r="K55" s="105" t="s">
        <v>19</v>
      </c>
      <c r="L55" s="105" t="s">
        <v>52</v>
      </c>
      <c r="M55" s="33">
        <v>6</v>
      </c>
      <c r="N55" s="39" t="s">
        <v>60</v>
      </c>
      <c r="O55" s="35">
        <f>'SPJ FUNGSIONAL '!O61</f>
        <v>36091000</v>
      </c>
      <c r="P55" s="81">
        <f>'[1]LRA SP2D'!$R$55</f>
        <v>24380500</v>
      </c>
      <c r="Q55" s="81">
        <v>7760500</v>
      </c>
      <c r="R55" s="81">
        <f t="shared" si="1"/>
        <v>32141000</v>
      </c>
      <c r="S55" s="81">
        <f>'SPJ FUNGSIONAL '!V61</f>
        <v>27856000</v>
      </c>
      <c r="T55" s="81">
        <f>'SPJ FUNGSIONAL '!W61</f>
        <v>6240500</v>
      </c>
      <c r="U55" s="81">
        <f t="shared" si="2"/>
        <v>34096500</v>
      </c>
      <c r="V55" s="81">
        <f t="shared" si="3"/>
        <v>1994500</v>
      </c>
      <c r="W55" s="81"/>
      <c r="X55" s="81">
        <f t="shared" si="10"/>
        <v>-1955500</v>
      </c>
      <c r="Y55" s="207">
        <f t="shared" si="0"/>
        <v>0.94473691502036516</v>
      </c>
    </row>
    <row r="56" spans="1:29" s="3" customFormat="1" ht="36" customHeight="1">
      <c r="A56" s="11">
        <v>7</v>
      </c>
      <c r="B56" s="104" t="s">
        <v>19</v>
      </c>
      <c r="C56" s="104" t="s">
        <v>19</v>
      </c>
      <c r="D56" s="12">
        <v>2</v>
      </c>
      <c r="E56" s="104" t="s">
        <v>34</v>
      </c>
      <c r="F56" s="104" t="s">
        <v>54</v>
      </c>
      <c r="G56" s="12">
        <v>5</v>
      </c>
      <c r="H56" s="12">
        <v>1</v>
      </c>
      <c r="I56" s="104" t="s">
        <v>22</v>
      </c>
      <c r="J56" s="104" t="s">
        <v>22</v>
      </c>
      <c r="K56" s="12"/>
      <c r="L56" s="12"/>
      <c r="M56" s="27"/>
      <c r="N56" s="42" t="s">
        <v>75</v>
      </c>
      <c r="O56" s="29">
        <f t="shared" ref="O56:Q57" si="12">O57</f>
        <v>1800000</v>
      </c>
      <c r="P56" s="82">
        <f t="shared" si="12"/>
        <v>1200000</v>
      </c>
      <c r="Q56" s="82">
        <f t="shared" si="12"/>
        <v>300000</v>
      </c>
      <c r="R56" s="82">
        <f t="shared" si="1"/>
        <v>1500000</v>
      </c>
      <c r="S56" s="81">
        <f>'SPJ FUNGSIONAL '!V62</f>
        <v>1200000</v>
      </c>
      <c r="T56" s="82">
        <f>T57</f>
        <v>300000</v>
      </c>
      <c r="U56" s="82">
        <f t="shared" si="2"/>
        <v>1500000</v>
      </c>
      <c r="V56" s="82">
        <f t="shared" si="3"/>
        <v>300000</v>
      </c>
      <c r="W56" s="82">
        <f t="shared" si="11"/>
        <v>0</v>
      </c>
      <c r="X56" s="82">
        <f t="shared" si="10"/>
        <v>0</v>
      </c>
      <c r="Y56" s="209">
        <f t="shared" si="0"/>
        <v>0.83333333333333337</v>
      </c>
    </row>
    <row r="57" spans="1:29" s="3" customFormat="1" ht="36" customHeight="1">
      <c r="A57" s="11">
        <v>7</v>
      </c>
      <c r="B57" s="104" t="s">
        <v>19</v>
      </c>
      <c r="C57" s="104" t="s">
        <v>19</v>
      </c>
      <c r="D57" s="12">
        <v>2</v>
      </c>
      <c r="E57" s="104" t="s">
        <v>34</v>
      </c>
      <c r="F57" s="104" t="s">
        <v>54</v>
      </c>
      <c r="G57" s="12">
        <v>5</v>
      </c>
      <c r="H57" s="12">
        <v>1</v>
      </c>
      <c r="I57" s="104" t="s">
        <v>22</v>
      </c>
      <c r="J57" s="104" t="s">
        <v>22</v>
      </c>
      <c r="K57" s="104" t="s">
        <v>19</v>
      </c>
      <c r="L57" s="16"/>
      <c r="M57" s="33"/>
      <c r="N57" s="53" t="s">
        <v>76</v>
      </c>
      <c r="O57" s="35">
        <f t="shared" si="12"/>
        <v>1800000</v>
      </c>
      <c r="P57" s="82">
        <f t="shared" si="12"/>
        <v>1200000</v>
      </c>
      <c r="Q57" s="82">
        <f t="shared" si="12"/>
        <v>300000</v>
      </c>
      <c r="R57" s="82">
        <f t="shared" si="1"/>
        <v>1500000</v>
      </c>
      <c r="S57" s="82">
        <f>'SPJ FUNGSIONAL '!V63</f>
        <v>1200000</v>
      </c>
      <c r="T57" s="82">
        <f>T58</f>
        <v>300000</v>
      </c>
      <c r="U57" s="82">
        <f t="shared" si="2"/>
        <v>1500000</v>
      </c>
      <c r="V57" s="82">
        <f t="shared" si="3"/>
        <v>300000</v>
      </c>
      <c r="W57" s="82">
        <f t="shared" si="11"/>
        <v>0</v>
      </c>
      <c r="X57" s="82">
        <f t="shared" si="10"/>
        <v>0</v>
      </c>
      <c r="Y57" s="209">
        <f t="shared" si="0"/>
        <v>0.83333333333333337</v>
      </c>
    </row>
    <row r="58" spans="1:29" s="3" customFormat="1" ht="36" customHeight="1">
      <c r="A58" s="15">
        <v>7</v>
      </c>
      <c r="B58" s="105" t="s">
        <v>19</v>
      </c>
      <c r="C58" s="105" t="s">
        <v>19</v>
      </c>
      <c r="D58" s="16">
        <v>2</v>
      </c>
      <c r="E58" s="105" t="s">
        <v>34</v>
      </c>
      <c r="F58" s="105" t="s">
        <v>54</v>
      </c>
      <c r="G58" s="16">
        <v>5</v>
      </c>
      <c r="H58" s="16">
        <v>1</v>
      </c>
      <c r="I58" s="105" t="s">
        <v>22</v>
      </c>
      <c r="J58" s="105" t="s">
        <v>22</v>
      </c>
      <c r="K58" s="105" t="s">
        <v>19</v>
      </c>
      <c r="L58" s="105" t="s">
        <v>66</v>
      </c>
      <c r="M58" s="33">
        <v>2</v>
      </c>
      <c r="N58" s="34" t="s">
        <v>174</v>
      </c>
      <c r="O58" s="35">
        <f>'SPJ FUNGSIONAL '!O64</f>
        <v>1800000</v>
      </c>
      <c r="P58" s="81">
        <f>'[1]LRA SP2D'!$R$58</f>
        <v>1200000</v>
      </c>
      <c r="Q58" s="81">
        <f>T58</f>
        <v>300000</v>
      </c>
      <c r="R58" s="81">
        <f t="shared" si="1"/>
        <v>1500000</v>
      </c>
      <c r="S58" s="81">
        <f>'SPJ FUNGSIONAL '!V64</f>
        <v>1200000</v>
      </c>
      <c r="T58" s="81">
        <f>'SPJ FUNGSIONAL '!W64</f>
        <v>300000</v>
      </c>
      <c r="U58" s="81">
        <f t="shared" si="2"/>
        <v>1500000</v>
      </c>
      <c r="V58" s="81">
        <f t="shared" si="3"/>
        <v>300000</v>
      </c>
      <c r="W58" s="81">
        <f t="shared" si="11"/>
        <v>0</v>
      </c>
      <c r="X58" s="81">
        <f t="shared" si="10"/>
        <v>0</v>
      </c>
      <c r="Y58" s="207">
        <f t="shared" si="0"/>
        <v>0.83333333333333337</v>
      </c>
    </row>
    <row r="59" spans="1:29" s="3" customFormat="1" ht="25" customHeight="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33"/>
      <c r="N59" s="34"/>
      <c r="O59" s="35"/>
      <c r="P59" s="81"/>
      <c r="Q59" s="81"/>
      <c r="R59" s="81">
        <f t="shared" si="1"/>
        <v>0</v>
      </c>
      <c r="S59" s="81"/>
      <c r="T59" s="81"/>
      <c r="U59" s="81"/>
      <c r="V59" s="81">
        <f t="shared" si="3"/>
        <v>0</v>
      </c>
      <c r="W59" s="81">
        <f t="shared" si="11"/>
        <v>0</v>
      </c>
      <c r="X59" s="81">
        <f t="shared" si="10"/>
        <v>0</v>
      </c>
      <c r="Y59" s="207"/>
    </row>
    <row r="60" spans="1:29" s="3" customFormat="1" ht="34.5" customHeight="1">
      <c r="A60" s="13">
        <v>7</v>
      </c>
      <c r="B60" s="103" t="s">
        <v>19</v>
      </c>
      <c r="C60" s="103" t="s">
        <v>19</v>
      </c>
      <c r="D60" s="14">
        <v>2</v>
      </c>
      <c r="E60" s="103" t="s">
        <v>34</v>
      </c>
      <c r="F60" s="103" t="s">
        <v>32</v>
      </c>
      <c r="G60" s="14"/>
      <c r="H60" s="14"/>
      <c r="I60" s="14"/>
      <c r="J60" s="14"/>
      <c r="K60" s="14"/>
      <c r="L60" s="14"/>
      <c r="M60" s="30"/>
      <c r="N60" s="41" t="s">
        <v>61</v>
      </c>
      <c r="O60" s="32">
        <f>O61</f>
        <v>50862250</v>
      </c>
      <c r="P60" s="165">
        <f t="shared" ref="P60:Q63" si="13">P61</f>
        <v>20954950</v>
      </c>
      <c r="Q60" s="165">
        <f t="shared" si="13"/>
        <v>15696300</v>
      </c>
      <c r="R60" s="165">
        <f t="shared" si="1"/>
        <v>36651250</v>
      </c>
      <c r="S60" s="165">
        <f t="shared" ref="S60:T63" si="14">S61</f>
        <v>21554950</v>
      </c>
      <c r="T60" s="165">
        <f t="shared" si="14"/>
        <v>16666750</v>
      </c>
      <c r="U60" s="165">
        <f t="shared" si="2"/>
        <v>38221700</v>
      </c>
      <c r="V60" s="165">
        <f t="shared" si="3"/>
        <v>12640550</v>
      </c>
      <c r="W60" s="165"/>
      <c r="X60" s="165">
        <f t="shared" si="10"/>
        <v>-1570450</v>
      </c>
      <c r="Y60" s="213">
        <f t="shared" si="0"/>
        <v>0.75147481678455041</v>
      </c>
    </row>
    <row r="61" spans="1:29" s="3" customFormat="1" ht="34.5" customHeight="1">
      <c r="A61" s="11">
        <v>7</v>
      </c>
      <c r="B61" s="104" t="s">
        <v>19</v>
      </c>
      <c r="C61" s="104" t="s">
        <v>19</v>
      </c>
      <c r="D61" s="12">
        <v>2</v>
      </c>
      <c r="E61" s="104" t="s">
        <v>34</v>
      </c>
      <c r="F61" s="104" t="s">
        <v>32</v>
      </c>
      <c r="G61" s="12">
        <v>5</v>
      </c>
      <c r="H61" s="12">
        <v>1</v>
      </c>
      <c r="I61" s="104" t="s">
        <v>22</v>
      </c>
      <c r="J61" s="12"/>
      <c r="K61" s="12"/>
      <c r="L61" s="12"/>
      <c r="M61" s="27"/>
      <c r="N61" s="42" t="s">
        <v>49</v>
      </c>
      <c r="O61" s="29">
        <f>O62</f>
        <v>50862250</v>
      </c>
      <c r="P61" s="180">
        <f t="shared" si="13"/>
        <v>20954950</v>
      </c>
      <c r="Q61" s="180">
        <f t="shared" si="13"/>
        <v>15696300</v>
      </c>
      <c r="R61" s="82">
        <f t="shared" si="1"/>
        <v>36651250</v>
      </c>
      <c r="S61" s="180">
        <f t="shared" si="14"/>
        <v>21554950</v>
      </c>
      <c r="T61" s="180">
        <f t="shared" si="14"/>
        <v>16666750</v>
      </c>
      <c r="U61" s="82">
        <f t="shared" si="2"/>
        <v>38221700</v>
      </c>
      <c r="V61" s="82">
        <f t="shared" si="3"/>
        <v>12640550</v>
      </c>
      <c r="W61" s="82"/>
      <c r="X61" s="82">
        <f t="shared" si="10"/>
        <v>-1570450</v>
      </c>
      <c r="Y61" s="209">
        <f t="shared" si="0"/>
        <v>0.75147481678455041</v>
      </c>
    </row>
    <row r="62" spans="1:29" s="3" customFormat="1" ht="34.5" customHeight="1">
      <c r="A62" s="11">
        <v>7</v>
      </c>
      <c r="B62" s="104" t="s">
        <v>19</v>
      </c>
      <c r="C62" s="104" t="s">
        <v>19</v>
      </c>
      <c r="D62" s="12">
        <v>2</v>
      </c>
      <c r="E62" s="104" t="s">
        <v>34</v>
      </c>
      <c r="F62" s="104" t="s">
        <v>32</v>
      </c>
      <c r="G62" s="12">
        <v>5</v>
      </c>
      <c r="H62" s="12">
        <v>1</v>
      </c>
      <c r="I62" s="104" t="s">
        <v>22</v>
      </c>
      <c r="J62" s="104" t="s">
        <v>19</v>
      </c>
      <c r="K62" s="12"/>
      <c r="L62" s="12"/>
      <c r="M62" s="27"/>
      <c r="N62" s="42" t="s">
        <v>50</v>
      </c>
      <c r="O62" s="29">
        <f>O63</f>
        <v>50862250</v>
      </c>
      <c r="P62" s="180">
        <f t="shared" si="13"/>
        <v>20954950</v>
      </c>
      <c r="Q62" s="180">
        <f t="shared" si="13"/>
        <v>15696300</v>
      </c>
      <c r="R62" s="82">
        <f t="shared" si="1"/>
        <v>36651250</v>
      </c>
      <c r="S62" s="180">
        <f t="shared" si="14"/>
        <v>21554950</v>
      </c>
      <c r="T62" s="180">
        <f t="shared" si="14"/>
        <v>16666750</v>
      </c>
      <c r="U62" s="82">
        <f t="shared" si="2"/>
        <v>38221700</v>
      </c>
      <c r="V62" s="82">
        <f t="shared" si="3"/>
        <v>12640550</v>
      </c>
      <c r="W62" s="82"/>
      <c r="X62" s="82">
        <f t="shared" si="10"/>
        <v>-1570450</v>
      </c>
      <c r="Y62" s="209">
        <f t="shared" si="0"/>
        <v>0.75147481678455041</v>
      </c>
    </row>
    <row r="63" spans="1:29" s="3" customFormat="1" ht="34.5" customHeight="1">
      <c r="A63" s="11">
        <v>7</v>
      </c>
      <c r="B63" s="104" t="s">
        <v>19</v>
      </c>
      <c r="C63" s="104" t="s">
        <v>19</v>
      </c>
      <c r="D63" s="12">
        <v>2</v>
      </c>
      <c r="E63" s="104" t="s">
        <v>34</v>
      </c>
      <c r="F63" s="104" t="s">
        <v>32</v>
      </c>
      <c r="G63" s="12">
        <v>5</v>
      </c>
      <c r="H63" s="12">
        <v>1</v>
      </c>
      <c r="I63" s="104" t="s">
        <v>22</v>
      </c>
      <c r="J63" s="104" t="s">
        <v>19</v>
      </c>
      <c r="K63" s="104" t="s">
        <v>19</v>
      </c>
      <c r="L63" s="12"/>
      <c r="M63" s="27"/>
      <c r="N63" s="42" t="s">
        <v>51</v>
      </c>
      <c r="O63" s="29">
        <f>O64</f>
        <v>50862250</v>
      </c>
      <c r="P63" s="180">
        <f t="shared" si="13"/>
        <v>20954950</v>
      </c>
      <c r="Q63" s="180">
        <f t="shared" si="13"/>
        <v>15696300</v>
      </c>
      <c r="R63" s="82">
        <f t="shared" si="1"/>
        <v>36651250</v>
      </c>
      <c r="S63" s="180">
        <f t="shared" si="14"/>
        <v>21554950</v>
      </c>
      <c r="T63" s="180">
        <f t="shared" si="14"/>
        <v>16666750</v>
      </c>
      <c r="U63" s="82">
        <f t="shared" si="2"/>
        <v>38221700</v>
      </c>
      <c r="V63" s="82">
        <f t="shared" si="3"/>
        <v>12640550</v>
      </c>
      <c r="W63" s="82"/>
      <c r="X63" s="82">
        <f t="shared" si="10"/>
        <v>-1570450</v>
      </c>
      <c r="Y63" s="209">
        <f t="shared" si="0"/>
        <v>0.75147481678455041</v>
      </c>
    </row>
    <row r="64" spans="1:29" s="3" customFormat="1" ht="34.5" customHeight="1">
      <c r="A64" s="15">
        <v>7</v>
      </c>
      <c r="B64" s="105" t="s">
        <v>19</v>
      </c>
      <c r="C64" s="105" t="s">
        <v>19</v>
      </c>
      <c r="D64" s="16">
        <v>2</v>
      </c>
      <c r="E64" s="105" t="s">
        <v>34</v>
      </c>
      <c r="F64" s="105" t="s">
        <v>32</v>
      </c>
      <c r="G64" s="16">
        <v>5</v>
      </c>
      <c r="H64" s="16">
        <v>1</v>
      </c>
      <c r="I64" s="105" t="s">
        <v>22</v>
      </c>
      <c r="J64" s="105" t="s">
        <v>19</v>
      </c>
      <c r="K64" s="105" t="s">
        <v>19</v>
      </c>
      <c r="L64" s="105" t="s">
        <v>56</v>
      </c>
      <c r="M64" s="33">
        <v>6</v>
      </c>
      <c r="N64" s="34" t="s">
        <v>62</v>
      </c>
      <c r="O64" s="35">
        <f>'SPJ FUNGSIONAL '!O70</f>
        <v>50862250</v>
      </c>
      <c r="P64" s="81">
        <f>'[1]LRA SP2D'!$R$64</f>
        <v>20954950</v>
      </c>
      <c r="Q64" s="81">
        <v>15696300</v>
      </c>
      <c r="R64" s="81">
        <f t="shared" si="1"/>
        <v>36651250</v>
      </c>
      <c r="S64" s="81">
        <f>'SPJ FUNGSIONAL '!V70</f>
        <v>21554950</v>
      </c>
      <c r="T64" s="81">
        <f>'SPJ FUNGSIONAL '!W70</f>
        <v>16666750</v>
      </c>
      <c r="U64" s="81">
        <f t="shared" si="2"/>
        <v>38221700</v>
      </c>
      <c r="V64" s="81">
        <f t="shared" si="3"/>
        <v>12640550</v>
      </c>
      <c r="W64" s="81"/>
      <c r="X64" s="81">
        <f t="shared" si="10"/>
        <v>-1570450</v>
      </c>
      <c r="Y64" s="207">
        <f t="shared" si="0"/>
        <v>0.75147481678455041</v>
      </c>
    </row>
    <row r="65" spans="1:25" s="3" customFormat="1" ht="25" customHeight="1">
      <c r="A65" s="4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51"/>
      <c r="N65" s="34"/>
      <c r="O65" s="35"/>
      <c r="P65" s="81"/>
      <c r="Q65" s="81"/>
      <c r="R65" s="81">
        <f t="shared" si="1"/>
        <v>0</v>
      </c>
      <c r="S65" s="81"/>
      <c r="T65" s="81"/>
      <c r="U65" s="81">
        <f t="shared" si="2"/>
        <v>0</v>
      </c>
      <c r="V65" s="81">
        <f t="shared" si="3"/>
        <v>0</v>
      </c>
      <c r="W65" s="81">
        <f t="shared" si="11"/>
        <v>0</v>
      </c>
      <c r="X65" s="81">
        <f t="shared" si="10"/>
        <v>0</v>
      </c>
      <c r="Y65" s="207"/>
    </row>
    <row r="66" spans="1:25" s="3" customFormat="1" ht="33" customHeight="1">
      <c r="A66" s="13">
        <v>7</v>
      </c>
      <c r="B66" s="103" t="s">
        <v>19</v>
      </c>
      <c r="C66" s="103" t="s">
        <v>19</v>
      </c>
      <c r="D66" s="14">
        <v>2</v>
      </c>
      <c r="E66" s="103" t="s">
        <v>34</v>
      </c>
      <c r="F66" s="103" t="s">
        <v>40</v>
      </c>
      <c r="G66" s="14"/>
      <c r="H66" s="14"/>
      <c r="I66" s="14"/>
      <c r="J66" s="14"/>
      <c r="K66" s="14"/>
      <c r="L66" s="14"/>
      <c r="M66" s="30"/>
      <c r="N66" s="41" t="s">
        <v>63</v>
      </c>
      <c r="O66" s="32">
        <f t="shared" ref="O66:U67" si="15">O67</f>
        <v>252381500</v>
      </c>
      <c r="P66" s="32">
        <f t="shared" si="15"/>
        <v>132429793</v>
      </c>
      <c r="Q66" s="32">
        <f t="shared" si="15"/>
        <v>74348900</v>
      </c>
      <c r="R66" s="32">
        <f t="shared" si="15"/>
        <v>206778693</v>
      </c>
      <c r="S66" s="32">
        <f t="shared" si="15"/>
        <v>199308593</v>
      </c>
      <c r="T66" s="32">
        <f t="shared" si="15"/>
        <v>13809650</v>
      </c>
      <c r="U66" s="32">
        <f t="shared" si="15"/>
        <v>213118243</v>
      </c>
      <c r="V66" s="165">
        <f t="shared" si="3"/>
        <v>39263257</v>
      </c>
      <c r="W66" s="165"/>
      <c r="X66" s="165">
        <f t="shared" si="10"/>
        <v>-6339550</v>
      </c>
      <c r="Y66" s="213">
        <f t="shared" si="0"/>
        <v>0.84442894189946571</v>
      </c>
    </row>
    <row r="67" spans="1:25" s="3" customFormat="1" ht="33" customHeight="1">
      <c r="A67" s="49">
        <v>7</v>
      </c>
      <c r="B67" s="107" t="s">
        <v>19</v>
      </c>
      <c r="C67" s="107" t="s">
        <v>19</v>
      </c>
      <c r="D67" s="107" t="s">
        <v>64</v>
      </c>
      <c r="E67" s="107" t="s">
        <v>34</v>
      </c>
      <c r="F67" s="107" t="s">
        <v>40</v>
      </c>
      <c r="G67" s="12">
        <v>5</v>
      </c>
      <c r="H67" s="12">
        <v>1</v>
      </c>
      <c r="I67" s="104" t="s">
        <v>22</v>
      </c>
      <c r="J67" s="36"/>
      <c r="K67" s="36"/>
      <c r="L67" s="36"/>
      <c r="M67" s="51"/>
      <c r="N67" s="42" t="s">
        <v>49</v>
      </c>
      <c r="O67" s="38">
        <f t="shared" si="15"/>
        <v>252381500</v>
      </c>
      <c r="P67" s="38">
        <f t="shared" si="15"/>
        <v>132429793</v>
      </c>
      <c r="Q67" s="38">
        <f t="shared" si="15"/>
        <v>74348900</v>
      </c>
      <c r="R67" s="38">
        <f t="shared" si="15"/>
        <v>206778693</v>
      </c>
      <c r="S67" s="38">
        <f t="shared" si="15"/>
        <v>199308593</v>
      </c>
      <c r="T67" s="38">
        <f t="shared" si="15"/>
        <v>13809650</v>
      </c>
      <c r="U67" s="38">
        <f t="shared" si="15"/>
        <v>213118243</v>
      </c>
      <c r="V67" s="82">
        <f t="shared" si="3"/>
        <v>39263257</v>
      </c>
      <c r="W67" s="82"/>
      <c r="X67" s="82">
        <f t="shared" si="10"/>
        <v>-6339550</v>
      </c>
      <c r="Y67" s="209">
        <f t="shared" si="0"/>
        <v>0.84442894189946571</v>
      </c>
    </row>
    <row r="68" spans="1:25" s="3" customFormat="1" ht="33" customHeight="1">
      <c r="A68" s="49">
        <v>7</v>
      </c>
      <c r="B68" s="107" t="s">
        <v>19</v>
      </c>
      <c r="C68" s="107" t="s">
        <v>19</v>
      </c>
      <c r="D68" s="107" t="s">
        <v>64</v>
      </c>
      <c r="E68" s="107" t="s">
        <v>34</v>
      </c>
      <c r="F68" s="107" t="s">
        <v>40</v>
      </c>
      <c r="G68" s="12">
        <v>5</v>
      </c>
      <c r="H68" s="12">
        <v>1</v>
      </c>
      <c r="I68" s="104" t="s">
        <v>22</v>
      </c>
      <c r="J68" s="107" t="s">
        <v>19</v>
      </c>
      <c r="K68" s="36"/>
      <c r="L68" s="36"/>
      <c r="M68" s="51"/>
      <c r="N68" s="42" t="s">
        <v>65</v>
      </c>
      <c r="O68" s="38">
        <f>O69+O71</f>
        <v>252381500</v>
      </c>
      <c r="P68" s="38">
        <f t="shared" ref="P68:U68" si="16">P69+P71</f>
        <v>132429793</v>
      </c>
      <c r="Q68" s="38">
        <f t="shared" si="16"/>
        <v>74348900</v>
      </c>
      <c r="R68" s="38">
        <f t="shared" si="16"/>
        <v>206778693</v>
      </c>
      <c r="S68" s="38">
        <f t="shared" si="16"/>
        <v>199308593</v>
      </c>
      <c r="T68" s="38">
        <f t="shared" si="16"/>
        <v>13809650</v>
      </c>
      <c r="U68" s="38">
        <f t="shared" si="16"/>
        <v>213118243</v>
      </c>
      <c r="V68" s="82">
        <f t="shared" si="3"/>
        <v>39263257</v>
      </c>
      <c r="W68" s="82"/>
      <c r="X68" s="82">
        <f t="shared" si="10"/>
        <v>-6339550</v>
      </c>
      <c r="Y68" s="209">
        <f t="shared" si="0"/>
        <v>0.84442894189946571</v>
      </c>
    </row>
    <row r="69" spans="1:25" s="3" customFormat="1" ht="33" customHeight="1">
      <c r="A69" s="11">
        <v>7</v>
      </c>
      <c r="B69" s="104" t="s">
        <v>19</v>
      </c>
      <c r="C69" s="104" t="s">
        <v>19</v>
      </c>
      <c r="D69" s="12">
        <v>2</v>
      </c>
      <c r="E69" s="104" t="s">
        <v>34</v>
      </c>
      <c r="F69" s="104" t="s">
        <v>32</v>
      </c>
      <c r="G69" s="12">
        <v>5</v>
      </c>
      <c r="H69" s="12">
        <v>1</v>
      </c>
      <c r="I69" s="104" t="s">
        <v>22</v>
      </c>
      <c r="J69" s="104" t="s">
        <v>19</v>
      </c>
      <c r="K69" s="104" t="s">
        <v>19</v>
      </c>
      <c r="L69" s="36"/>
      <c r="M69" s="51"/>
      <c r="N69" s="42" t="s">
        <v>51</v>
      </c>
      <c r="O69" s="38">
        <f>O70</f>
        <v>78355000</v>
      </c>
      <c r="P69" s="38">
        <f t="shared" ref="P69:U69" si="17">P70</f>
        <v>49517200</v>
      </c>
      <c r="Q69" s="38">
        <f t="shared" si="17"/>
        <v>13653900</v>
      </c>
      <c r="R69" s="38">
        <f t="shared" si="17"/>
        <v>63171100</v>
      </c>
      <c r="S69" s="38">
        <f t="shared" si="17"/>
        <v>55701000</v>
      </c>
      <c r="T69" s="38">
        <f t="shared" si="17"/>
        <v>12059650</v>
      </c>
      <c r="U69" s="38">
        <f t="shared" si="17"/>
        <v>67760650</v>
      </c>
      <c r="V69" s="82">
        <f t="shared" si="3"/>
        <v>10594350</v>
      </c>
      <c r="W69" s="82"/>
      <c r="X69" s="82">
        <f t="shared" si="10"/>
        <v>-4589550</v>
      </c>
      <c r="Y69" s="209">
        <f t="shared" si="0"/>
        <v>0.86479037712973006</v>
      </c>
    </row>
    <row r="70" spans="1:25" s="3" customFormat="1" ht="33" customHeight="1">
      <c r="A70" s="15">
        <v>7</v>
      </c>
      <c r="B70" s="105" t="s">
        <v>19</v>
      </c>
      <c r="C70" s="105" t="s">
        <v>19</v>
      </c>
      <c r="D70" s="16">
        <v>2</v>
      </c>
      <c r="E70" s="105" t="s">
        <v>34</v>
      </c>
      <c r="F70" s="105" t="s">
        <v>32</v>
      </c>
      <c r="G70" s="16">
        <v>5</v>
      </c>
      <c r="H70" s="16">
        <v>1</v>
      </c>
      <c r="I70" s="105" t="s">
        <v>22</v>
      </c>
      <c r="J70" s="105" t="s">
        <v>19</v>
      </c>
      <c r="K70" s="105" t="s">
        <v>19</v>
      </c>
      <c r="L70" s="105" t="s">
        <v>66</v>
      </c>
      <c r="M70" s="33">
        <v>2</v>
      </c>
      <c r="N70" s="34" t="s">
        <v>67</v>
      </c>
      <c r="O70" s="35">
        <f>'SPJ FUNGSIONAL '!O76</f>
        <v>78355000</v>
      </c>
      <c r="P70" s="81">
        <f>'[1]LRA SP2D'!$R$70</f>
        <v>49517200</v>
      </c>
      <c r="Q70" s="81">
        <v>13653900</v>
      </c>
      <c r="R70" s="81">
        <f t="shared" si="1"/>
        <v>63171100</v>
      </c>
      <c r="S70" s="81">
        <f>'SPJ FUNGSIONAL '!V76</f>
        <v>55701000</v>
      </c>
      <c r="T70" s="81">
        <f>'SPJ FUNGSIONAL '!W76</f>
        <v>12059650</v>
      </c>
      <c r="U70" s="81">
        <f t="shared" si="2"/>
        <v>67760650</v>
      </c>
      <c r="V70" s="81">
        <f t="shared" si="3"/>
        <v>10594350</v>
      </c>
      <c r="W70" s="81"/>
      <c r="X70" s="81">
        <f t="shared" si="10"/>
        <v>-4589550</v>
      </c>
      <c r="Y70" s="207">
        <f t="shared" si="0"/>
        <v>0.86479037712973006</v>
      </c>
    </row>
    <row r="71" spans="1:25" s="3" customFormat="1" ht="33" customHeight="1">
      <c r="A71" s="49">
        <v>7</v>
      </c>
      <c r="B71" s="107" t="s">
        <v>19</v>
      </c>
      <c r="C71" s="107" t="s">
        <v>19</v>
      </c>
      <c r="D71" s="107" t="s">
        <v>64</v>
      </c>
      <c r="E71" s="107" t="s">
        <v>34</v>
      </c>
      <c r="F71" s="107" t="s">
        <v>40</v>
      </c>
      <c r="G71" s="12">
        <v>5</v>
      </c>
      <c r="H71" s="12">
        <v>1</v>
      </c>
      <c r="I71" s="104" t="s">
        <v>22</v>
      </c>
      <c r="J71" s="107" t="s">
        <v>54</v>
      </c>
      <c r="K71" s="36"/>
      <c r="L71" s="36"/>
      <c r="M71" s="51"/>
      <c r="N71" s="42" t="s">
        <v>68</v>
      </c>
      <c r="O71" s="38">
        <f>O72</f>
        <v>174026500</v>
      </c>
      <c r="P71" s="38">
        <f t="shared" ref="P71:U72" si="18">P72</f>
        <v>82912593</v>
      </c>
      <c r="Q71" s="38">
        <f t="shared" si="18"/>
        <v>60695000</v>
      </c>
      <c r="R71" s="38">
        <f t="shared" si="18"/>
        <v>143607593</v>
      </c>
      <c r="S71" s="38">
        <f t="shared" si="18"/>
        <v>143607593</v>
      </c>
      <c r="T71" s="38">
        <f t="shared" si="18"/>
        <v>1750000</v>
      </c>
      <c r="U71" s="38">
        <f t="shared" si="18"/>
        <v>145357593</v>
      </c>
      <c r="V71" s="82">
        <f t="shared" si="3"/>
        <v>28668907</v>
      </c>
      <c r="W71" s="82"/>
      <c r="X71" s="82">
        <f t="shared" si="10"/>
        <v>-1750000</v>
      </c>
      <c r="Y71" s="209">
        <f t="shared" si="0"/>
        <v>0.83526125618799441</v>
      </c>
    </row>
    <row r="72" spans="1:25" s="3" customFormat="1" ht="33" customHeight="1">
      <c r="A72" s="49">
        <v>7</v>
      </c>
      <c r="B72" s="107" t="s">
        <v>19</v>
      </c>
      <c r="C72" s="107" t="s">
        <v>19</v>
      </c>
      <c r="D72" s="107" t="s">
        <v>64</v>
      </c>
      <c r="E72" s="107" t="s">
        <v>34</v>
      </c>
      <c r="F72" s="107" t="s">
        <v>40</v>
      </c>
      <c r="G72" s="12">
        <v>5</v>
      </c>
      <c r="H72" s="12">
        <v>1</v>
      </c>
      <c r="I72" s="104" t="s">
        <v>22</v>
      </c>
      <c r="J72" s="107" t="s">
        <v>54</v>
      </c>
      <c r="K72" s="107" t="s">
        <v>19</v>
      </c>
      <c r="L72" s="50"/>
      <c r="M72" s="52"/>
      <c r="N72" s="53" t="s">
        <v>69</v>
      </c>
      <c r="O72" s="38">
        <f>O73</f>
        <v>174026500</v>
      </c>
      <c r="P72" s="38">
        <f t="shared" si="18"/>
        <v>82912593</v>
      </c>
      <c r="Q72" s="38">
        <f t="shared" si="18"/>
        <v>60695000</v>
      </c>
      <c r="R72" s="38">
        <f t="shared" si="18"/>
        <v>143607593</v>
      </c>
      <c r="S72" s="38">
        <f t="shared" si="18"/>
        <v>143607593</v>
      </c>
      <c r="T72" s="38">
        <f t="shared" si="18"/>
        <v>1750000</v>
      </c>
      <c r="U72" s="38">
        <f t="shared" si="18"/>
        <v>145357593</v>
      </c>
      <c r="V72" s="82">
        <f t="shared" si="3"/>
        <v>28668907</v>
      </c>
      <c r="W72" s="82"/>
      <c r="X72" s="82">
        <f t="shared" si="10"/>
        <v>-1750000</v>
      </c>
      <c r="Y72" s="209">
        <f t="shared" si="0"/>
        <v>0.83526125618799441</v>
      </c>
    </row>
    <row r="73" spans="1:25" s="3" customFormat="1" ht="33" customHeight="1">
      <c r="A73" s="48">
        <v>7</v>
      </c>
      <c r="B73" s="106" t="s">
        <v>19</v>
      </c>
      <c r="C73" s="106" t="s">
        <v>19</v>
      </c>
      <c r="D73" s="106" t="s">
        <v>64</v>
      </c>
      <c r="E73" s="106" t="s">
        <v>34</v>
      </c>
      <c r="F73" s="106" t="s">
        <v>40</v>
      </c>
      <c r="G73" s="16">
        <v>5</v>
      </c>
      <c r="H73" s="16">
        <v>1</v>
      </c>
      <c r="I73" s="105" t="s">
        <v>22</v>
      </c>
      <c r="J73" s="106" t="s">
        <v>54</v>
      </c>
      <c r="K73" s="106" t="s">
        <v>19</v>
      </c>
      <c r="L73" s="106" t="s">
        <v>27</v>
      </c>
      <c r="M73" s="51">
        <v>1</v>
      </c>
      <c r="N73" s="34" t="s">
        <v>70</v>
      </c>
      <c r="O73" s="35">
        <f>'SPJ FUNGSIONAL '!O79</f>
        <v>174026500</v>
      </c>
      <c r="P73" s="81">
        <f>'[1]LRA SP2D'!$R$73</f>
        <v>82912593</v>
      </c>
      <c r="Q73" s="81">
        <v>60695000</v>
      </c>
      <c r="R73" s="81">
        <f t="shared" si="1"/>
        <v>143607593</v>
      </c>
      <c r="S73" s="81">
        <f>'SPJ FUNGSIONAL '!V79</f>
        <v>143607593</v>
      </c>
      <c r="T73" s="81">
        <f>'SPJ FUNGSIONAL '!W79</f>
        <v>1750000</v>
      </c>
      <c r="U73" s="81">
        <f t="shared" si="2"/>
        <v>145357593</v>
      </c>
      <c r="V73" s="81">
        <f t="shared" si="3"/>
        <v>28668907</v>
      </c>
      <c r="W73" s="81"/>
      <c r="X73" s="81">
        <f t="shared" si="10"/>
        <v>-1750000</v>
      </c>
      <c r="Y73" s="207">
        <f t="shared" si="0"/>
        <v>0.83526125618799441</v>
      </c>
    </row>
    <row r="74" spans="1:25" s="3" customFormat="1" ht="25" customHeight="1">
      <c r="A74" s="4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51"/>
      <c r="N74" s="34"/>
      <c r="O74" s="35"/>
      <c r="P74" s="81"/>
      <c r="Q74" s="81"/>
      <c r="R74" s="81">
        <f t="shared" si="1"/>
        <v>0</v>
      </c>
      <c r="S74" s="81"/>
      <c r="T74" s="81"/>
      <c r="U74" s="81">
        <f t="shared" si="2"/>
        <v>0</v>
      </c>
      <c r="V74" s="81">
        <f t="shared" si="3"/>
        <v>0</v>
      </c>
      <c r="W74" s="81">
        <f t="shared" si="11"/>
        <v>0</v>
      </c>
      <c r="X74" s="81">
        <f t="shared" si="10"/>
        <v>0</v>
      </c>
      <c r="Y74" s="207"/>
    </row>
    <row r="75" spans="1:25" s="3" customFormat="1" ht="54" customHeight="1">
      <c r="A75" s="279">
        <v>7</v>
      </c>
      <c r="B75" s="280" t="s">
        <v>19</v>
      </c>
      <c r="C75" s="280" t="s">
        <v>19</v>
      </c>
      <c r="D75" s="281">
        <v>2</v>
      </c>
      <c r="E75" s="280" t="s">
        <v>36</v>
      </c>
      <c r="F75" s="281"/>
      <c r="G75" s="281"/>
      <c r="H75" s="281"/>
      <c r="I75" s="281"/>
      <c r="J75" s="281"/>
      <c r="K75" s="281"/>
      <c r="L75" s="281"/>
      <c r="M75" s="282"/>
      <c r="N75" s="283" t="s">
        <v>244</v>
      </c>
      <c r="O75" s="26">
        <f>O77</f>
        <v>68000000</v>
      </c>
      <c r="P75" s="26">
        <f t="shared" ref="P75:V75" si="19">P77</f>
        <v>68000000</v>
      </c>
      <c r="Q75" s="26">
        <f t="shared" si="19"/>
        <v>0</v>
      </c>
      <c r="R75" s="26">
        <f t="shared" si="19"/>
        <v>68000000</v>
      </c>
      <c r="S75" s="26">
        <f t="shared" si="19"/>
        <v>68000000</v>
      </c>
      <c r="T75" s="26">
        <f t="shared" si="19"/>
        <v>0</v>
      </c>
      <c r="U75" s="26">
        <f t="shared" si="19"/>
        <v>68000000</v>
      </c>
      <c r="V75" s="26">
        <f t="shared" si="19"/>
        <v>0</v>
      </c>
      <c r="W75" s="193"/>
      <c r="X75" s="193"/>
      <c r="Y75" s="211">
        <f t="shared" si="0"/>
        <v>1</v>
      </c>
    </row>
    <row r="76" spans="1:25" s="3" customFormat="1" ht="25" customHeight="1">
      <c r="A76" s="288"/>
      <c r="B76" s="302"/>
      <c r="C76" s="302"/>
      <c r="D76" s="289"/>
      <c r="E76" s="302"/>
      <c r="F76" s="289"/>
      <c r="G76" s="289"/>
      <c r="H76" s="289"/>
      <c r="I76" s="289"/>
      <c r="J76" s="289"/>
      <c r="K76" s="289"/>
      <c r="L76" s="289"/>
      <c r="M76" s="290"/>
      <c r="N76" s="322"/>
      <c r="O76" s="35"/>
      <c r="P76" s="35"/>
      <c r="Q76" s="35"/>
      <c r="R76" s="35"/>
      <c r="S76" s="35"/>
      <c r="T76" s="35"/>
      <c r="U76" s="35"/>
      <c r="V76" s="35"/>
      <c r="W76" s="81"/>
      <c r="X76" s="81"/>
      <c r="Y76" s="207"/>
    </row>
    <row r="77" spans="1:25" s="3" customFormat="1" ht="25" customHeight="1">
      <c r="A77" s="332">
        <v>7</v>
      </c>
      <c r="B77" s="333" t="s">
        <v>19</v>
      </c>
      <c r="C77" s="333" t="s">
        <v>19</v>
      </c>
      <c r="D77" s="333" t="s">
        <v>64</v>
      </c>
      <c r="E77" s="333" t="s">
        <v>36</v>
      </c>
      <c r="F77" s="333" t="s">
        <v>34</v>
      </c>
      <c r="G77" s="334"/>
      <c r="H77" s="334"/>
      <c r="I77" s="333"/>
      <c r="J77" s="335"/>
      <c r="K77" s="335"/>
      <c r="L77" s="335"/>
      <c r="M77" s="336"/>
      <c r="N77" s="337" t="s">
        <v>248</v>
      </c>
      <c r="O77" s="485">
        <f>O78+O82</f>
        <v>68000000</v>
      </c>
      <c r="P77" s="485">
        <f t="shared" ref="P77:V77" si="20">P78+P82</f>
        <v>68000000</v>
      </c>
      <c r="Q77" s="485">
        <f t="shared" si="20"/>
        <v>0</v>
      </c>
      <c r="R77" s="485">
        <f t="shared" si="20"/>
        <v>68000000</v>
      </c>
      <c r="S77" s="485">
        <f t="shared" si="20"/>
        <v>68000000</v>
      </c>
      <c r="T77" s="485">
        <f t="shared" si="20"/>
        <v>0</v>
      </c>
      <c r="U77" s="485">
        <f t="shared" si="20"/>
        <v>68000000</v>
      </c>
      <c r="V77" s="485">
        <f t="shared" si="20"/>
        <v>0</v>
      </c>
      <c r="W77" s="486"/>
      <c r="X77" s="486"/>
      <c r="Y77" s="487"/>
    </row>
    <row r="78" spans="1:25" s="3" customFormat="1" ht="25" customHeight="1">
      <c r="A78" s="327">
        <v>7</v>
      </c>
      <c r="B78" s="328" t="s">
        <v>19</v>
      </c>
      <c r="C78" s="328" t="s">
        <v>19</v>
      </c>
      <c r="D78" s="328" t="s">
        <v>64</v>
      </c>
      <c r="E78" s="328" t="s">
        <v>36</v>
      </c>
      <c r="F78" s="328" t="s">
        <v>34</v>
      </c>
      <c r="G78" s="289">
        <v>5</v>
      </c>
      <c r="H78" s="289">
        <v>1</v>
      </c>
      <c r="I78" s="302"/>
      <c r="J78" s="315"/>
      <c r="K78" s="315"/>
      <c r="L78" s="315"/>
      <c r="M78" s="326"/>
      <c r="N78" s="322" t="s">
        <v>25</v>
      </c>
      <c r="O78" s="38">
        <f>O79</f>
        <v>680000</v>
      </c>
      <c r="P78" s="38">
        <f t="shared" ref="P78:P85" si="21">P79</f>
        <v>680000</v>
      </c>
      <c r="Q78" s="38">
        <f t="shared" ref="Q78:Q85" si="22">Q79</f>
        <v>0</v>
      </c>
      <c r="R78" s="38">
        <f t="shared" ref="R78:R85" si="23">R79</f>
        <v>680000</v>
      </c>
      <c r="S78" s="38">
        <f t="shared" ref="S78:S85" si="24">S79</f>
        <v>680000</v>
      </c>
      <c r="T78" s="38">
        <f t="shared" ref="T78:T85" si="25">T79</f>
        <v>0</v>
      </c>
      <c r="U78" s="38">
        <f t="shared" ref="U78:U85" si="26">U79</f>
        <v>680000</v>
      </c>
      <c r="V78" s="82">
        <f t="shared" ref="V78:V86" si="27">O78-U78</f>
        <v>0</v>
      </c>
      <c r="W78" s="82"/>
      <c r="X78" s="82">
        <f t="shared" ref="X78:X86" si="28">R78-U78</f>
        <v>0</v>
      </c>
      <c r="Y78" s="209">
        <f t="shared" ref="Y78:Y86" si="29">U78/O78*100%</f>
        <v>1</v>
      </c>
    </row>
    <row r="79" spans="1:25" s="3" customFormat="1" ht="39" customHeight="1">
      <c r="A79" s="327">
        <v>7</v>
      </c>
      <c r="B79" s="328" t="s">
        <v>19</v>
      </c>
      <c r="C79" s="328" t="s">
        <v>19</v>
      </c>
      <c r="D79" s="328" t="s">
        <v>64</v>
      </c>
      <c r="E79" s="328" t="s">
        <v>36</v>
      </c>
      <c r="F79" s="328" t="s">
        <v>34</v>
      </c>
      <c r="G79" s="289">
        <v>5</v>
      </c>
      <c r="H79" s="289">
        <v>1</v>
      </c>
      <c r="I79" s="302" t="s">
        <v>19</v>
      </c>
      <c r="J79" s="328" t="s">
        <v>30</v>
      </c>
      <c r="K79" s="315"/>
      <c r="L79" s="315"/>
      <c r="M79" s="326"/>
      <c r="N79" s="316" t="s">
        <v>245</v>
      </c>
      <c r="O79" s="38">
        <f>O80</f>
        <v>680000</v>
      </c>
      <c r="P79" s="38">
        <f t="shared" si="21"/>
        <v>680000</v>
      </c>
      <c r="Q79" s="38">
        <f t="shared" si="22"/>
        <v>0</v>
      </c>
      <c r="R79" s="38">
        <f t="shared" si="23"/>
        <v>680000</v>
      </c>
      <c r="S79" s="38">
        <f t="shared" si="24"/>
        <v>680000</v>
      </c>
      <c r="T79" s="38">
        <f t="shared" si="25"/>
        <v>0</v>
      </c>
      <c r="U79" s="38">
        <f t="shared" si="26"/>
        <v>680000</v>
      </c>
      <c r="V79" s="82">
        <f t="shared" si="27"/>
        <v>0</v>
      </c>
      <c r="W79" s="82"/>
      <c r="X79" s="82">
        <f t="shared" si="28"/>
        <v>0</v>
      </c>
      <c r="Y79" s="209">
        <f t="shared" si="29"/>
        <v>1</v>
      </c>
    </row>
    <row r="80" spans="1:25" s="3" customFormat="1" ht="25" customHeight="1">
      <c r="A80" s="327">
        <v>7</v>
      </c>
      <c r="B80" s="328" t="s">
        <v>19</v>
      </c>
      <c r="C80" s="328" t="s">
        <v>19</v>
      </c>
      <c r="D80" s="328" t="s">
        <v>64</v>
      </c>
      <c r="E80" s="328" t="s">
        <v>36</v>
      </c>
      <c r="F80" s="328" t="s">
        <v>34</v>
      </c>
      <c r="G80" s="289">
        <v>5</v>
      </c>
      <c r="H80" s="289">
        <v>1</v>
      </c>
      <c r="I80" s="302" t="s">
        <v>19</v>
      </c>
      <c r="J80" s="328" t="s">
        <v>30</v>
      </c>
      <c r="K80" s="328" t="s">
        <v>36</v>
      </c>
      <c r="L80" s="315"/>
      <c r="M80" s="326"/>
      <c r="N80" s="316" t="s">
        <v>246</v>
      </c>
      <c r="O80" s="38">
        <f>O81</f>
        <v>680000</v>
      </c>
      <c r="P80" s="38">
        <f t="shared" si="21"/>
        <v>680000</v>
      </c>
      <c r="Q80" s="38">
        <f t="shared" si="22"/>
        <v>0</v>
      </c>
      <c r="R80" s="38">
        <f t="shared" si="23"/>
        <v>680000</v>
      </c>
      <c r="S80" s="38">
        <f t="shared" si="24"/>
        <v>680000</v>
      </c>
      <c r="T80" s="38">
        <f t="shared" si="25"/>
        <v>0</v>
      </c>
      <c r="U80" s="38">
        <f t="shared" si="26"/>
        <v>680000</v>
      </c>
      <c r="V80" s="82">
        <f t="shared" si="27"/>
        <v>0</v>
      </c>
      <c r="W80" s="82"/>
      <c r="X80" s="82">
        <f t="shared" si="28"/>
        <v>0</v>
      </c>
      <c r="Y80" s="209">
        <f t="shared" si="29"/>
        <v>1</v>
      </c>
    </row>
    <row r="81" spans="1:25" s="3" customFormat="1" ht="37.5" customHeight="1">
      <c r="A81" s="325">
        <v>7</v>
      </c>
      <c r="B81" s="314" t="s">
        <v>19</v>
      </c>
      <c r="C81" s="314" t="s">
        <v>19</v>
      </c>
      <c r="D81" s="314" t="s">
        <v>64</v>
      </c>
      <c r="E81" s="314" t="s">
        <v>36</v>
      </c>
      <c r="F81" s="314" t="s">
        <v>34</v>
      </c>
      <c r="G81" s="307">
        <v>5</v>
      </c>
      <c r="H81" s="307">
        <v>1</v>
      </c>
      <c r="I81" s="306" t="s">
        <v>19</v>
      </c>
      <c r="J81" s="314" t="s">
        <v>30</v>
      </c>
      <c r="K81" s="314" t="s">
        <v>36</v>
      </c>
      <c r="L81" s="314" t="s">
        <v>27</v>
      </c>
      <c r="M81" s="326">
        <v>2</v>
      </c>
      <c r="N81" s="309" t="s">
        <v>247</v>
      </c>
      <c r="O81" s="35">
        <f>'SPJ FUNGSIONAL '!O87</f>
        <v>680000</v>
      </c>
      <c r="P81" s="35">
        <f>S81</f>
        <v>680000</v>
      </c>
      <c r="Q81" s="35">
        <f>T81</f>
        <v>0</v>
      </c>
      <c r="R81" s="35">
        <f>SUM(P81:Q81)</f>
        <v>680000</v>
      </c>
      <c r="S81" s="35">
        <f>'SPJ FUNGSIONAL '!V87</f>
        <v>680000</v>
      </c>
      <c r="T81" s="35">
        <f>'SPJ FUNGSIONAL '!W87</f>
        <v>0</v>
      </c>
      <c r="U81" s="35">
        <f>SUM(S81:T81)</f>
        <v>680000</v>
      </c>
      <c r="V81" s="81">
        <f t="shared" si="27"/>
        <v>0</v>
      </c>
      <c r="W81" s="81"/>
      <c r="X81" s="81">
        <f t="shared" si="28"/>
        <v>0</v>
      </c>
      <c r="Y81" s="207">
        <f t="shared" si="29"/>
        <v>1</v>
      </c>
    </row>
    <row r="82" spans="1:25" s="3" customFormat="1" ht="39" customHeight="1">
      <c r="A82" s="327">
        <v>7</v>
      </c>
      <c r="B82" s="328" t="s">
        <v>19</v>
      </c>
      <c r="C82" s="328" t="s">
        <v>19</v>
      </c>
      <c r="D82" s="328" t="s">
        <v>64</v>
      </c>
      <c r="E82" s="328" t="s">
        <v>36</v>
      </c>
      <c r="F82" s="328" t="s">
        <v>34</v>
      </c>
      <c r="G82" s="289">
        <v>5</v>
      </c>
      <c r="H82" s="289">
        <v>2</v>
      </c>
      <c r="I82" s="302"/>
      <c r="J82" s="315"/>
      <c r="K82" s="315"/>
      <c r="L82" s="315"/>
      <c r="M82" s="326"/>
      <c r="N82" s="322" t="s">
        <v>249</v>
      </c>
      <c r="O82" s="38">
        <f>O83</f>
        <v>67320000</v>
      </c>
      <c r="P82" s="38">
        <f t="shared" si="21"/>
        <v>67320000</v>
      </c>
      <c r="Q82" s="38">
        <f t="shared" si="22"/>
        <v>0</v>
      </c>
      <c r="R82" s="38">
        <f t="shared" si="23"/>
        <v>67320000</v>
      </c>
      <c r="S82" s="38">
        <f t="shared" si="24"/>
        <v>67320000</v>
      </c>
      <c r="T82" s="38">
        <f t="shared" si="25"/>
        <v>0</v>
      </c>
      <c r="U82" s="38">
        <f t="shared" si="26"/>
        <v>67320000</v>
      </c>
      <c r="V82" s="82">
        <f t="shared" si="27"/>
        <v>0</v>
      </c>
      <c r="W82" s="82"/>
      <c r="X82" s="82">
        <f t="shared" si="28"/>
        <v>0</v>
      </c>
      <c r="Y82" s="209">
        <f t="shared" si="29"/>
        <v>1</v>
      </c>
    </row>
    <row r="83" spans="1:25" s="3" customFormat="1" ht="39" customHeight="1">
      <c r="A83" s="327">
        <v>7</v>
      </c>
      <c r="B83" s="328" t="s">
        <v>19</v>
      </c>
      <c r="C83" s="328" t="s">
        <v>19</v>
      </c>
      <c r="D83" s="328" t="s">
        <v>64</v>
      </c>
      <c r="E83" s="328" t="s">
        <v>36</v>
      </c>
      <c r="F83" s="328" t="s">
        <v>34</v>
      </c>
      <c r="G83" s="289">
        <v>5</v>
      </c>
      <c r="H83" s="289">
        <v>2</v>
      </c>
      <c r="I83" s="302" t="s">
        <v>22</v>
      </c>
      <c r="J83" s="315"/>
      <c r="K83" s="315"/>
      <c r="L83" s="315"/>
      <c r="M83" s="326"/>
      <c r="N83" s="323" t="s">
        <v>250</v>
      </c>
      <c r="O83" s="38">
        <f>O84</f>
        <v>67320000</v>
      </c>
      <c r="P83" s="38">
        <f t="shared" si="21"/>
        <v>67320000</v>
      </c>
      <c r="Q83" s="38">
        <f t="shared" si="22"/>
        <v>0</v>
      </c>
      <c r="R83" s="38">
        <f t="shared" si="23"/>
        <v>67320000</v>
      </c>
      <c r="S83" s="38">
        <f t="shared" si="24"/>
        <v>67320000</v>
      </c>
      <c r="T83" s="38">
        <f t="shared" si="25"/>
        <v>0</v>
      </c>
      <c r="U83" s="38">
        <f t="shared" si="26"/>
        <v>67320000</v>
      </c>
      <c r="V83" s="82">
        <f t="shared" si="27"/>
        <v>0</v>
      </c>
      <c r="W83" s="82"/>
      <c r="X83" s="82">
        <f t="shared" si="28"/>
        <v>0</v>
      </c>
      <c r="Y83" s="209">
        <f t="shared" si="29"/>
        <v>1</v>
      </c>
    </row>
    <row r="84" spans="1:25" s="3" customFormat="1" ht="39" customHeight="1">
      <c r="A84" s="327">
        <v>7</v>
      </c>
      <c r="B84" s="328" t="s">
        <v>19</v>
      </c>
      <c r="C84" s="328" t="s">
        <v>19</v>
      </c>
      <c r="D84" s="328" t="s">
        <v>64</v>
      </c>
      <c r="E84" s="328" t="s">
        <v>36</v>
      </c>
      <c r="F84" s="328" t="s">
        <v>34</v>
      </c>
      <c r="G84" s="289">
        <v>5</v>
      </c>
      <c r="H84" s="289">
        <v>2</v>
      </c>
      <c r="I84" s="302" t="s">
        <v>22</v>
      </c>
      <c r="J84" s="328" t="s">
        <v>167</v>
      </c>
      <c r="K84" s="315"/>
      <c r="L84" s="315"/>
      <c r="M84" s="326"/>
      <c r="N84" s="323" t="s">
        <v>251</v>
      </c>
      <c r="O84" s="38">
        <f>O85</f>
        <v>67320000</v>
      </c>
      <c r="P84" s="38">
        <f t="shared" si="21"/>
        <v>67320000</v>
      </c>
      <c r="Q84" s="38">
        <f t="shared" si="22"/>
        <v>0</v>
      </c>
      <c r="R84" s="38">
        <f t="shared" si="23"/>
        <v>67320000</v>
      </c>
      <c r="S84" s="38">
        <f t="shared" si="24"/>
        <v>67320000</v>
      </c>
      <c r="T84" s="38">
        <f t="shared" si="25"/>
        <v>0</v>
      </c>
      <c r="U84" s="38">
        <f t="shared" si="26"/>
        <v>67320000</v>
      </c>
      <c r="V84" s="82">
        <f t="shared" si="27"/>
        <v>0</v>
      </c>
      <c r="W84" s="82"/>
      <c r="X84" s="82">
        <f t="shared" si="28"/>
        <v>0</v>
      </c>
      <c r="Y84" s="209">
        <f t="shared" si="29"/>
        <v>1</v>
      </c>
    </row>
    <row r="85" spans="1:25" s="3" customFormat="1" ht="39" customHeight="1">
      <c r="A85" s="327">
        <v>7</v>
      </c>
      <c r="B85" s="328" t="s">
        <v>19</v>
      </c>
      <c r="C85" s="328" t="s">
        <v>19</v>
      </c>
      <c r="D85" s="328" t="s">
        <v>64</v>
      </c>
      <c r="E85" s="328" t="s">
        <v>36</v>
      </c>
      <c r="F85" s="328" t="s">
        <v>34</v>
      </c>
      <c r="G85" s="289">
        <v>5</v>
      </c>
      <c r="H85" s="289">
        <v>2</v>
      </c>
      <c r="I85" s="302" t="s">
        <v>22</v>
      </c>
      <c r="J85" s="328" t="s">
        <v>167</v>
      </c>
      <c r="K85" s="328" t="s">
        <v>19</v>
      </c>
      <c r="L85" s="314"/>
      <c r="M85" s="326"/>
      <c r="N85" s="323" t="s">
        <v>252</v>
      </c>
      <c r="O85" s="38">
        <f>O86</f>
        <v>67320000</v>
      </c>
      <c r="P85" s="38">
        <f t="shared" si="21"/>
        <v>67320000</v>
      </c>
      <c r="Q85" s="38">
        <f t="shared" si="22"/>
        <v>0</v>
      </c>
      <c r="R85" s="38">
        <f t="shared" si="23"/>
        <v>67320000</v>
      </c>
      <c r="S85" s="38">
        <f t="shared" si="24"/>
        <v>67320000</v>
      </c>
      <c r="T85" s="38">
        <f t="shared" si="25"/>
        <v>0</v>
      </c>
      <c r="U85" s="38">
        <f t="shared" si="26"/>
        <v>67320000</v>
      </c>
      <c r="V85" s="82">
        <f t="shared" si="27"/>
        <v>0</v>
      </c>
      <c r="W85" s="82"/>
      <c r="X85" s="82">
        <f t="shared" si="28"/>
        <v>0</v>
      </c>
      <c r="Y85" s="209">
        <f t="shared" si="29"/>
        <v>1</v>
      </c>
    </row>
    <row r="86" spans="1:25" s="3" customFormat="1" ht="39" customHeight="1">
      <c r="A86" s="325">
        <v>7</v>
      </c>
      <c r="B86" s="314" t="s">
        <v>19</v>
      </c>
      <c r="C86" s="314" t="s">
        <v>19</v>
      </c>
      <c r="D86" s="314" t="s">
        <v>64</v>
      </c>
      <c r="E86" s="314" t="s">
        <v>36</v>
      </c>
      <c r="F86" s="314" t="s">
        <v>34</v>
      </c>
      <c r="G86" s="307">
        <v>5</v>
      </c>
      <c r="H86" s="307">
        <v>2</v>
      </c>
      <c r="I86" s="306" t="s">
        <v>22</v>
      </c>
      <c r="J86" s="314" t="s">
        <v>167</v>
      </c>
      <c r="K86" s="314" t="s">
        <v>19</v>
      </c>
      <c r="L86" s="314" t="s">
        <v>27</v>
      </c>
      <c r="M86" s="326">
        <v>2</v>
      </c>
      <c r="N86" s="309" t="s">
        <v>253</v>
      </c>
      <c r="O86" s="35">
        <f>'SPJ FUNGSIONAL '!O92</f>
        <v>67320000</v>
      </c>
      <c r="P86" s="35">
        <f>S86</f>
        <v>67320000</v>
      </c>
      <c r="Q86" s="35">
        <f>T86</f>
        <v>0</v>
      </c>
      <c r="R86" s="35">
        <f>SUM(P86:Q86)</f>
        <v>67320000</v>
      </c>
      <c r="S86" s="35">
        <f>'SPJ FUNGSIONAL '!U92</f>
        <v>67320000</v>
      </c>
      <c r="T86" s="35">
        <f>'SPJ FUNGSIONAL '!T92</f>
        <v>0</v>
      </c>
      <c r="U86" s="35">
        <f>SUM(S86:T86)</f>
        <v>67320000</v>
      </c>
      <c r="V86" s="81">
        <f t="shared" si="27"/>
        <v>0</v>
      </c>
      <c r="W86" s="81"/>
      <c r="X86" s="81">
        <f t="shared" si="28"/>
        <v>0</v>
      </c>
      <c r="Y86" s="207">
        <f t="shared" si="29"/>
        <v>1</v>
      </c>
    </row>
    <row r="87" spans="1:25" s="3" customFormat="1" ht="25" customHeight="1">
      <c r="A87" s="4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51"/>
      <c r="N87" s="34"/>
      <c r="O87" s="35"/>
      <c r="P87" s="38"/>
      <c r="Q87" s="38"/>
      <c r="R87" s="38"/>
      <c r="S87" s="38"/>
      <c r="T87" s="38"/>
      <c r="U87" s="38"/>
      <c r="V87" s="82"/>
      <c r="W87" s="82"/>
      <c r="X87" s="82"/>
      <c r="Y87" s="209"/>
    </row>
    <row r="88" spans="1:25" s="3" customFormat="1" ht="36.75" customHeight="1">
      <c r="A88" s="9">
        <v>7</v>
      </c>
      <c r="B88" s="102" t="s">
        <v>19</v>
      </c>
      <c r="C88" s="102" t="s">
        <v>19</v>
      </c>
      <c r="D88" s="10">
        <v>2</v>
      </c>
      <c r="E88" s="102" t="s">
        <v>38</v>
      </c>
      <c r="F88" s="10"/>
      <c r="G88" s="10"/>
      <c r="H88" s="10"/>
      <c r="I88" s="10"/>
      <c r="J88" s="10"/>
      <c r="K88" s="10"/>
      <c r="L88" s="10"/>
      <c r="M88" s="24"/>
      <c r="N88" s="25" t="s">
        <v>71</v>
      </c>
      <c r="O88" s="26">
        <f>O90+O96+O104</f>
        <v>1144355033</v>
      </c>
      <c r="P88" s="163">
        <f>P90+P96+P104</f>
        <v>897354062</v>
      </c>
      <c r="Q88" s="163">
        <f>Q90+Q96+Q104</f>
        <v>89648083</v>
      </c>
      <c r="R88" s="163">
        <f t="shared" si="1"/>
        <v>987002145</v>
      </c>
      <c r="S88" s="163">
        <f>S90+S96+S104</f>
        <v>898567516</v>
      </c>
      <c r="T88" s="163">
        <f>T90+T96+T104</f>
        <v>170514455</v>
      </c>
      <c r="U88" s="163">
        <f t="shared" si="2"/>
        <v>1069081971</v>
      </c>
      <c r="V88" s="163">
        <f t="shared" si="3"/>
        <v>75273062</v>
      </c>
      <c r="W88" s="163"/>
      <c r="X88" s="163">
        <f>R88-U88</f>
        <v>-82079826</v>
      </c>
      <c r="Y88" s="211">
        <f t="shared" si="0"/>
        <v>0.93422228257023798</v>
      </c>
    </row>
    <row r="89" spans="1:25" s="3" customFormat="1" ht="25" customHeight="1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27"/>
      <c r="N89" s="42"/>
      <c r="O89" s="29"/>
      <c r="P89" s="180"/>
      <c r="Q89" s="180"/>
      <c r="R89" s="82">
        <f t="shared" si="1"/>
        <v>0</v>
      </c>
      <c r="S89" s="180"/>
      <c r="T89" s="180"/>
      <c r="U89" s="82"/>
      <c r="V89" s="82"/>
      <c r="W89" s="82"/>
      <c r="X89" s="82"/>
      <c r="Y89" s="209"/>
    </row>
    <row r="90" spans="1:25" s="3" customFormat="1" ht="35.25" customHeight="1">
      <c r="A90" s="13">
        <v>7</v>
      </c>
      <c r="B90" s="103" t="s">
        <v>19</v>
      </c>
      <c r="C90" s="103" t="s">
        <v>19</v>
      </c>
      <c r="D90" s="14">
        <v>2</v>
      </c>
      <c r="E90" s="103" t="s">
        <v>38</v>
      </c>
      <c r="F90" s="103" t="s">
        <v>19</v>
      </c>
      <c r="G90" s="14"/>
      <c r="H90" s="14"/>
      <c r="I90" s="14"/>
      <c r="J90" s="14"/>
      <c r="K90" s="14"/>
      <c r="L90" s="14"/>
      <c r="M90" s="30"/>
      <c r="N90" s="41" t="s">
        <v>72</v>
      </c>
      <c r="O90" s="32">
        <f>O91</f>
        <v>6290000</v>
      </c>
      <c r="P90" s="165">
        <f t="shared" ref="P90:Q93" si="30">P91</f>
        <v>4178000</v>
      </c>
      <c r="Q90" s="165">
        <f t="shared" si="30"/>
        <v>170000</v>
      </c>
      <c r="R90" s="165">
        <f t="shared" si="1"/>
        <v>4348000</v>
      </c>
      <c r="S90" s="165">
        <f t="shared" ref="S90:T93" si="31">S91</f>
        <v>4348000</v>
      </c>
      <c r="T90" s="165">
        <f t="shared" si="31"/>
        <v>300000</v>
      </c>
      <c r="U90" s="165">
        <f t="shared" si="2"/>
        <v>4648000</v>
      </c>
      <c r="V90" s="165">
        <f t="shared" si="3"/>
        <v>1642000</v>
      </c>
      <c r="W90" s="165"/>
      <c r="X90" s="165">
        <f t="shared" si="10"/>
        <v>-300000</v>
      </c>
      <c r="Y90" s="213">
        <f t="shared" si="0"/>
        <v>0.73895071542130364</v>
      </c>
    </row>
    <row r="91" spans="1:25" s="3" customFormat="1" ht="35.25" customHeight="1">
      <c r="A91" s="11">
        <v>7</v>
      </c>
      <c r="B91" s="104" t="s">
        <v>19</v>
      </c>
      <c r="C91" s="104" t="s">
        <v>19</v>
      </c>
      <c r="D91" s="12">
        <v>2</v>
      </c>
      <c r="E91" s="104" t="s">
        <v>38</v>
      </c>
      <c r="F91" s="104" t="s">
        <v>19</v>
      </c>
      <c r="G91" s="12">
        <v>5</v>
      </c>
      <c r="H91" s="12">
        <v>1</v>
      </c>
      <c r="I91" s="104" t="s">
        <v>22</v>
      </c>
      <c r="J91" s="36"/>
      <c r="K91" s="36"/>
      <c r="L91" s="36"/>
      <c r="M91" s="51"/>
      <c r="N91" s="42" t="s">
        <v>49</v>
      </c>
      <c r="O91" s="38">
        <f>O92</f>
        <v>6290000</v>
      </c>
      <c r="P91" s="82">
        <f t="shared" si="30"/>
        <v>4178000</v>
      </c>
      <c r="Q91" s="82">
        <f t="shared" si="30"/>
        <v>170000</v>
      </c>
      <c r="R91" s="82">
        <f t="shared" ref="R91:R144" si="32">P91+Q91</f>
        <v>4348000</v>
      </c>
      <c r="S91" s="82">
        <f t="shared" si="31"/>
        <v>4348000</v>
      </c>
      <c r="T91" s="82">
        <f t="shared" si="31"/>
        <v>300000</v>
      </c>
      <c r="U91" s="82">
        <f t="shared" ref="U91:U144" si="33">S91+T91</f>
        <v>4648000</v>
      </c>
      <c r="V91" s="82">
        <f t="shared" ref="V91:V144" si="34">O91-U91</f>
        <v>1642000</v>
      </c>
      <c r="W91" s="82"/>
      <c r="X91" s="82">
        <f t="shared" ref="X91:X144" si="35">R91-U91</f>
        <v>-300000</v>
      </c>
      <c r="Y91" s="209">
        <f t="shared" ref="Y91:Y145" si="36">U91/O91*100%</f>
        <v>0.73895071542130364</v>
      </c>
    </row>
    <row r="92" spans="1:25" s="3" customFormat="1" ht="35.25" customHeight="1">
      <c r="A92" s="11">
        <v>7</v>
      </c>
      <c r="B92" s="104" t="s">
        <v>19</v>
      </c>
      <c r="C92" s="104" t="s">
        <v>19</v>
      </c>
      <c r="D92" s="12">
        <v>2</v>
      </c>
      <c r="E92" s="104" t="s">
        <v>38</v>
      </c>
      <c r="F92" s="104" t="s">
        <v>19</v>
      </c>
      <c r="G92" s="12">
        <v>5</v>
      </c>
      <c r="H92" s="12">
        <v>1</v>
      </c>
      <c r="I92" s="104" t="s">
        <v>22</v>
      </c>
      <c r="J92" s="107" t="s">
        <v>19</v>
      </c>
      <c r="K92" s="36"/>
      <c r="L92" s="36"/>
      <c r="M92" s="51"/>
      <c r="N92" s="53" t="s">
        <v>50</v>
      </c>
      <c r="O92" s="38">
        <f>O93</f>
        <v>6290000</v>
      </c>
      <c r="P92" s="82">
        <f t="shared" si="30"/>
        <v>4178000</v>
      </c>
      <c r="Q92" s="82">
        <f t="shared" si="30"/>
        <v>170000</v>
      </c>
      <c r="R92" s="82">
        <f t="shared" si="32"/>
        <v>4348000</v>
      </c>
      <c r="S92" s="82">
        <f t="shared" si="31"/>
        <v>4348000</v>
      </c>
      <c r="T92" s="82">
        <f t="shared" si="31"/>
        <v>300000</v>
      </c>
      <c r="U92" s="82">
        <f t="shared" si="33"/>
        <v>4648000</v>
      </c>
      <c r="V92" s="82">
        <f t="shared" si="34"/>
        <v>1642000</v>
      </c>
      <c r="W92" s="82"/>
      <c r="X92" s="82">
        <f t="shared" si="35"/>
        <v>-300000</v>
      </c>
      <c r="Y92" s="209">
        <f t="shared" si="36"/>
        <v>0.73895071542130364</v>
      </c>
    </row>
    <row r="93" spans="1:25" s="3" customFormat="1" ht="35.25" customHeight="1">
      <c r="A93" s="11">
        <v>7</v>
      </c>
      <c r="B93" s="104" t="s">
        <v>19</v>
      </c>
      <c r="C93" s="104" t="s">
        <v>19</v>
      </c>
      <c r="D93" s="12">
        <v>2</v>
      </c>
      <c r="E93" s="104" t="s">
        <v>38</v>
      </c>
      <c r="F93" s="104" t="s">
        <v>19</v>
      </c>
      <c r="G93" s="12">
        <v>5</v>
      </c>
      <c r="H93" s="12">
        <v>1</v>
      </c>
      <c r="I93" s="104" t="s">
        <v>22</v>
      </c>
      <c r="J93" s="107" t="s">
        <v>19</v>
      </c>
      <c r="K93" s="107" t="s">
        <v>19</v>
      </c>
      <c r="L93" s="36"/>
      <c r="M93" s="51"/>
      <c r="N93" s="42" t="s">
        <v>51</v>
      </c>
      <c r="O93" s="38">
        <f>O94</f>
        <v>6290000</v>
      </c>
      <c r="P93" s="82">
        <f t="shared" si="30"/>
        <v>4178000</v>
      </c>
      <c r="Q93" s="82">
        <f t="shared" si="30"/>
        <v>170000</v>
      </c>
      <c r="R93" s="82">
        <f t="shared" si="32"/>
        <v>4348000</v>
      </c>
      <c r="S93" s="82">
        <f t="shared" si="31"/>
        <v>4348000</v>
      </c>
      <c r="T93" s="82">
        <f t="shared" si="31"/>
        <v>300000</v>
      </c>
      <c r="U93" s="82">
        <f t="shared" si="33"/>
        <v>4648000</v>
      </c>
      <c r="V93" s="82">
        <f t="shared" si="34"/>
        <v>1642000</v>
      </c>
      <c r="W93" s="82"/>
      <c r="X93" s="82">
        <f t="shared" si="35"/>
        <v>-300000</v>
      </c>
      <c r="Y93" s="209">
        <f t="shared" si="36"/>
        <v>0.73895071542130364</v>
      </c>
    </row>
    <row r="94" spans="1:25" s="3" customFormat="1" ht="35.25" customHeight="1">
      <c r="A94" s="15">
        <v>7</v>
      </c>
      <c r="B94" s="105" t="s">
        <v>19</v>
      </c>
      <c r="C94" s="105" t="s">
        <v>19</v>
      </c>
      <c r="D94" s="16">
        <v>2</v>
      </c>
      <c r="E94" s="105" t="s">
        <v>38</v>
      </c>
      <c r="F94" s="105" t="s">
        <v>19</v>
      </c>
      <c r="G94" s="16">
        <v>5</v>
      </c>
      <c r="H94" s="16">
        <v>1</v>
      </c>
      <c r="I94" s="105" t="s">
        <v>22</v>
      </c>
      <c r="J94" s="106" t="s">
        <v>19</v>
      </c>
      <c r="K94" s="106" t="s">
        <v>19</v>
      </c>
      <c r="L94" s="106" t="s">
        <v>56</v>
      </c>
      <c r="M94" s="51">
        <v>7</v>
      </c>
      <c r="N94" s="34" t="s">
        <v>73</v>
      </c>
      <c r="O94" s="35">
        <f>'SPJ FUNGSIONAL '!O100</f>
        <v>6290000</v>
      </c>
      <c r="P94" s="81">
        <f>'[1]LRA SP2D'!$R$94</f>
        <v>4178000</v>
      </c>
      <c r="Q94" s="81">
        <v>170000</v>
      </c>
      <c r="R94" s="81">
        <f t="shared" si="32"/>
        <v>4348000</v>
      </c>
      <c r="S94" s="81">
        <f>'SPJ FUNGSIONAL '!V100</f>
        <v>4348000</v>
      </c>
      <c r="T94" s="81">
        <f>'SPJ FUNGSIONAL '!W100</f>
        <v>300000</v>
      </c>
      <c r="U94" s="81">
        <f t="shared" si="33"/>
        <v>4648000</v>
      </c>
      <c r="V94" s="81">
        <f t="shared" si="34"/>
        <v>1642000</v>
      </c>
      <c r="W94" s="81"/>
      <c r="X94" s="81">
        <f t="shared" si="35"/>
        <v>-300000</v>
      </c>
      <c r="Y94" s="207">
        <f t="shared" si="36"/>
        <v>0.73895071542130364</v>
      </c>
    </row>
    <row r="95" spans="1:25" s="3" customFormat="1" ht="25" customHeight="1">
      <c r="A95" s="15"/>
      <c r="B95" s="16"/>
      <c r="C95" s="16"/>
      <c r="D95" s="16"/>
      <c r="E95" s="16"/>
      <c r="F95" s="16"/>
      <c r="G95" s="16"/>
      <c r="H95" s="16"/>
      <c r="I95" s="16"/>
      <c r="J95" s="36"/>
      <c r="K95" s="36"/>
      <c r="L95" s="36"/>
      <c r="M95" s="51"/>
      <c r="N95" s="34"/>
      <c r="O95" s="35"/>
      <c r="P95" s="81"/>
      <c r="Q95" s="81"/>
      <c r="R95" s="81">
        <f t="shared" si="32"/>
        <v>0</v>
      </c>
      <c r="S95" s="81"/>
      <c r="T95" s="81"/>
      <c r="U95" s="81">
        <f t="shared" si="33"/>
        <v>0</v>
      </c>
      <c r="V95" s="81">
        <f t="shared" si="34"/>
        <v>0</v>
      </c>
      <c r="W95" s="81">
        <f t="shared" ref="W95:W143" si="37">R95-U95</f>
        <v>0</v>
      </c>
      <c r="X95" s="81">
        <f t="shared" si="35"/>
        <v>0</v>
      </c>
      <c r="Y95" s="207"/>
    </row>
    <row r="96" spans="1:25" s="3" customFormat="1" ht="36.75" customHeight="1">
      <c r="A96" s="13">
        <v>7</v>
      </c>
      <c r="B96" s="103" t="s">
        <v>19</v>
      </c>
      <c r="C96" s="103" t="s">
        <v>19</v>
      </c>
      <c r="D96" s="14">
        <v>2</v>
      </c>
      <c r="E96" s="103" t="s">
        <v>38</v>
      </c>
      <c r="F96" s="103" t="s">
        <v>22</v>
      </c>
      <c r="G96" s="14"/>
      <c r="H96" s="14"/>
      <c r="I96" s="14"/>
      <c r="J96" s="14"/>
      <c r="K96" s="14"/>
      <c r="L96" s="14"/>
      <c r="M96" s="30"/>
      <c r="N96" s="41" t="s">
        <v>74</v>
      </c>
      <c r="O96" s="32">
        <f t="shared" ref="O96:Q97" si="38">O97</f>
        <v>84029033</v>
      </c>
      <c r="P96" s="165">
        <f t="shared" si="38"/>
        <v>53158702</v>
      </c>
      <c r="Q96" s="165">
        <f t="shared" si="38"/>
        <v>7817651</v>
      </c>
      <c r="R96" s="165">
        <f t="shared" si="32"/>
        <v>60976353</v>
      </c>
      <c r="S96" s="165">
        <f>S97</f>
        <v>54161452</v>
      </c>
      <c r="T96" s="165">
        <f>T97</f>
        <v>6191911</v>
      </c>
      <c r="U96" s="165">
        <f t="shared" si="33"/>
        <v>60353363</v>
      </c>
      <c r="V96" s="165">
        <f t="shared" si="34"/>
        <v>23675670</v>
      </c>
      <c r="W96" s="165"/>
      <c r="X96" s="165"/>
      <c r="Y96" s="213">
        <f t="shared" si="36"/>
        <v>0.71824416925040657</v>
      </c>
    </row>
    <row r="97" spans="1:25" s="3" customFormat="1" ht="35.25" customHeight="1">
      <c r="A97" s="11">
        <v>7</v>
      </c>
      <c r="B97" s="104" t="s">
        <v>19</v>
      </c>
      <c r="C97" s="104" t="s">
        <v>19</v>
      </c>
      <c r="D97" s="12">
        <v>2</v>
      </c>
      <c r="E97" s="104" t="s">
        <v>38</v>
      </c>
      <c r="F97" s="104" t="s">
        <v>22</v>
      </c>
      <c r="G97" s="12">
        <v>5</v>
      </c>
      <c r="H97" s="12">
        <v>1</v>
      </c>
      <c r="I97" s="104" t="s">
        <v>22</v>
      </c>
      <c r="J97" s="107" t="s">
        <v>22</v>
      </c>
      <c r="K97" s="36"/>
      <c r="L97" s="36"/>
      <c r="M97" s="51"/>
      <c r="N97" s="53" t="s">
        <v>75</v>
      </c>
      <c r="O97" s="38">
        <f t="shared" si="38"/>
        <v>84029033</v>
      </c>
      <c r="P97" s="82">
        <f t="shared" si="38"/>
        <v>53158702</v>
      </c>
      <c r="Q97" s="82">
        <f t="shared" si="38"/>
        <v>7817651</v>
      </c>
      <c r="R97" s="82">
        <f t="shared" si="32"/>
        <v>60976353</v>
      </c>
      <c r="S97" s="82">
        <f>S98</f>
        <v>54161452</v>
      </c>
      <c r="T97" s="82">
        <f>T98</f>
        <v>6191911</v>
      </c>
      <c r="U97" s="82">
        <f t="shared" si="33"/>
        <v>60353363</v>
      </c>
      <c r="V97" s="82">
        <f t="shared" si="34"/>
        <v>23675670</v>
      </c>
      <c r="W97" s="82"/>
      <c r="X97" s="82"/>
      <c r="Y97" s="209">
        <f t="shared" si="36"/>
        <v>0.71824416925040657</v>
      </c>
    </row>
    <row r="98" spans="1:25" s="3" customFormat="1" ht="35.25" customHeight="1">
      <c r="A98" s="11">
        <v>7</v>
      </c>
      <c r="B98" s="104" t="s">
        <v>19</v>
      </c>
      <c r="C98" s="104" t="s">
        <v>19</v>
      </c>
      <c r="D98" s="12">
        <v>2</v>
      </c>
      <c r="E98" s="104" t="s">
        <v>38</v>
      </c>
      <c r="F98" s="104" t="s">
        <v>22</v>
      </c>
      <c r="G98" s="12">
        <v>5</v>
      </c>
      <c r="H98" s="12">
        <v>1</v>
      </c>
      <c r="I98" s="104" t="s">
        <v>22</v>
      </c>
      <c r="J98" s="107" t="s">
        <v>22</v>
      </c>
      <c r="K98" s="107" t="s">
        <v>19</v>
      </c>
      <c r="L98" s="36"/>
      <c r="M98" s="51"/>
      <c r="N98" s="53" t="s">
        <v>76</v>
      </c>
      <c r="O98" s="38">
        <f>SUM(O99:O102)</f>
        <v>84029033</v>
      </c>
      <c r="P98" s="82">
        <f>SUM(P99:P102)</f>
        <v>53158702</v>
      </c>
      <c r="Q98" s="82">
        <f>SUM(Q99:Q102)</f>
        <v>7817651</v>
      </c>
      <c r="R98" s="82">
        <f t="shared" si="32"/>
        <v>60976353</v>
      </c>
      <c r="S98" s="82">
        <f>SUM(S99:S102)</f>
        <v>54161452</v>
      </c>
      <c r="T98" s="82">
        <f>SUM(T99:T102)</f>
        <v>6191911</v>
      </c>
      <c r="U98" s="82">
        <f t="shared" si="33"/>
        <v>60353363</v>
      </c>
      <c r="V98" s="82">
        <f t="shared" si="34"/>
        <v>23675670</v>
      </c>
      <c r="W98" s="82"/>
      <c r="X98" s="82"/>
      <c r="Y98" s="209">
        <f t="shared" si="36"/>
        <v>0.71824416925040657</v>
      </c>
    </row>
    <row r="99" spans="1:25" s="3" customFormat="1" ht="35.25" customHeight="1">
      <c r="A99" s="305">
        <v>7</v>
      </c>
      <c r="B99" s="306" t="s">
        <v>19</v>
      </c>
      <c r="C99" s="306" t="s">
        <v>19</v>
      </c>
      <c r="D99" s="307">
        <v>2</v>
      </c>
      <c r="E99" s="306" t="s">
        <v>38</v>
      </c>
      <c r="F99" s="306" t="s">
        <v>22</v>
      </c>
      <c r="G99" s="307">
        <v>5</v>
      </c>
      <c r="H99" s="307">
        <v>1</v>
      </c>
      <c r="I99" s="306" t="s">
        <v>22</v>
      </c>
      <c r="J99" s="314" t="s">
        <v>22</v>
      </c>
      <c r="K99" s="314" t="s">
        <v>19</v>
      </c>
      <c r="L99" s="314" t="s">
        <v>66</v>
      </c>
      <c r="M99" s="326">
        <v>2</v>
      </c>
      <c r="N99" s="318" t="s">
        <v>254</v>
      </c>
      <c r="O99" s="35">
        <f>'SPJ FUNGSIONAL '!O105</f>
        <v>600000</v>
      </c>
      <c r="P99" s="81">
        <f>'[1]LRA SP2D'!$R$99</f>
        <v>350000</v>
      </c>
      <c r="Q99" s="81">
        <f>T99</f>
        <v>50000</v>
      </c>
      <c r="R99" s="81">
        <f>SUM(P99:Q99)</f>
        <v>400000</v>
      </c>
      <c r="S99" s="81">
        <f>'SPJ FUNGSIONAL '!V105</f>
        <v>350000</v>
      </c>
      <c r="T99" s="81">
        <f>'SPJ FUNGSIONAL '!W105</f>
        <v>50000</v>
      </c>
      <c r="U99" s="81">
        <f>SUM(S99:T99)</f>
        <v>400000</v>
      </c>
      <c r="V99" s="81">
        <f t="shared" si="34"/>
        <v>200000</v>
      </c>
      <c r="W99" s="82"/>
      <c r="X99" s="82"/>
      <c r="Y99" s="207">
        <f t="shared" si="36"/>
        <v>0.66666666666666663</v>
      </c>
    </row>
    <row r="100" spans="1:25" s="3" customFormat="1" ht="35.25" customHeight="1">
      <c r="A100" s="15">
        <v>7</v>
      </c>
      <c r="B100" s="105" t="s">
        <v>19</v>
      </c>
      <c r="C100" s="105" t="s">
        <v>19</v>
      </c>
      <c r="D100" s="16">
        <v>2</v>
      </c>
      <c r="E100" s="105" t="s">
        <v>38</v>
      </c>
      <c r="F100" s="105" t="s">
        <v>22</v>
      </c>
      <c r="G100" s="16">
        <v>5</v>
      </c>
      <c r="H100" s="16">
        <v>1</v>
      </c>
      <c r="I100" s="105" t="s">
        <v>22</v>
      </c>
      <c r="J100" s="106" t="s">
        <v>22</v>
      </c>
      <c r="K100" s="106" t="s">
        <v>19</v>
      </c>
      <c r="L100" s="106" t="s">
        <v>66</v>
      </c>
      <c r="M100" s="51">
        <v>9</v>
      </c>
      <c r="N100" s="34" t="s">
        <v>77</v>
      </c>
      <c r="O100" s="35">
        <f>'SPJ FUNGSIONAL '!O106</f>
        <v>6003000</v>
      </c>
      <c r="P100" s="81">
        <f>'[1]LRA SP2D'!$R$100</f>
        <v>3339302</v>
      </c>
      <c r="Q100" s="81">
        <f>T100</f>
        <v>263915</v>
      </c>
      <c r="R100" s="81">
        <f t="shared" si="32"/>
        <v>3603217</v>
      </c>
      <c r="S100" s="81">
        <f>'SPJ FUNGSIONAL '!V106</f>
        <v>3339302</v>
      </c>
      <c r="T100" s="81">
        <f>'SPJ FUNGSIONAL '!W106</f>
        <v>263915</v>
      </c>
      <c r="U100" s="81">
        <f t="shared" si="33"/>
        <v>3603217</v>
      </c>
      <c r="V100" s="81">
        <f t="shared" si="34"/>
        <v>2399783</v>
      </c>
      <c r="W100" s="81"/>
      <c r="X100" s="81">
        <f t="shared" si="35"/>
        <v>0</v>
      </c>
      <c r="Y100" s="207">
        <f t="shared" si="36"/>
        <v>0.60023604864234548</v>
      </c>
    </row>
    <row r="101" spans="1:25" s="3" customFormat="1" ht="35.25" customHeight="1">
      <c r="A101" s="15">
        <v>7</v>
      </c>
      <c r="B101" s="105" t="s">
        <v>19</v>
      </c>
      <c r="C101" s="105" t="s">
        <v>19</v>
      </c>
      <c r="D101" s="16">
        <v>2</v>
      </c>
      <c r="E101" s="105" t="s">
        <v>38</v>
      </c>
      <c r="F101" s="105" t="s">
        <v>22</v>
      </c>
      <c r="G101" s="16">
        <v>5</v>
      </c>
      <c r="H101" s="16">
        <v>1</v>
      </c>
      <c r="I101" s="105" t="s">
        <v>22</v>
      </c>
      <c r="J101" s="106" t="s">
        <v>22</v>
      </c>
      <c r="K101" s="106" t="s">
        <v>19</v>
      </c>
      <c r="L101" s="106" t="s">
        <v>78</v>
      </c>
      <c r="M101" s="108" t="s">
        <v>79</v>
      </c>
      <c r="N101" s="34" t="s">
        <v>80</v>
      </c>
      <c r="O101" s="35">
        <f>'SPJ FUNGSIONAL '!O107</f>
        <v>32571000</v>
      </c>
      <c r="P101" s="81">
        <f>'[1]LRA SP2D'!$R$101</f>
        <v>21550124</v>
      </c>
      <c r="Q101" s="81">
        <v>1615600</v>
      </c>
      <c r="R101" s="81">
        <f t="shared" si="32"/>
        <v>23165724</v>
      </c>
      <c r="S101" s="81">
        <f>'SPJ FUNGSIONAL '!V107</f>
        <v>21550124</v>
      </c>
      <c r="T101" s="81">
        <f>'SPJ FUNGSIONAL '!W107</f>
        <v>1615600</v>
      </c>
      <c r="U101" s="81">
        <f t="shared" si="33"/>
        <v>23165724</v>
      </c>
      <c r="V101" s="81">
        <f t="shared" si="34"/>
        <v>9405276</v>
      </c>
      <c r="W101" s="81"/>
      <c r="X101" s="81">
        <f t="shared" si="35"/>
        <v>0</v>
      </c>
      <c r="Y101" s="207">
        <f t="shared" si="36"/>
        <v>0.71123772681219488</v>
      </c>
    </row>
    <row r="102" spans="1:25" s="3" customFormat="1" ht="35.25" customHeight="1">
      <c r="A102" s="15">
        <v>7</v>
      </c>
      <c r="B102" s="105" t="s">
        <v>19</v>
      </c>
      <c r="C102" s="105" t="s">
        <v>19</v>
      </c>
      <c r="D102" s="16">
        <v>2</v>
      </c>
      <c r="E102" s="105" t="s">
        <v>38</v>
      </c>
      <c r="F102" s="105" t="s">
        <v>22</v>
      </c>
      <c r="G102" s="16">
        <v>5</v>
      </c>
      <c r="H102" s="16">
        <v>1</v>
      </c>
      <c r="I102" s="105" t="s">
        <v>22</v>
      </c>
      <c r="J102" s="106" t="s">
        <v>22</v>
      </c>
      <c r="K102" s="106" t="s">
        <v>19</v>
      </c>
      <c r="L102" s="106" t="s">
        <v>78</v>
      </c>
      <c r="M102" s="108" t="s">
        <v>10</v>
      </c>
      <c r="N102" s="34" t="s">
        <v>81</v>
      </c>
      <c r="O102" s="35">
        <f>'SPJ FUNGSIONAL '!O108</f>
        <v>44855033</v>
      </c>
      <c r="P102" s="81">
        <f>'[1]LRA SP2D'!$R$102</f>
        <v>27919276</v>
      </c>
      <c r="Q102" s="81">
        <f>5888136</f>
        <v>5888136</v>
      </c>
      <c r="R102" s="81">
        <f t="shared" si="32"/>
        <v>33807412</v>
      </c>
      <c r="S102" s="81">
        <f>'SPJ FUNGSIONAL '!V108</f>
        <v>28922026</v>
      </c>
      <c r="T102" s="193">
        <f>'SPJ FUNGSIONAL '!W108</f>
        <v>4262396</v>
      </c>
      <c r="U102" s="81">
        <f t="shared" si="33"/>
        <v>33184422</v>
      </c>
      <c r="V102" s="81">
        <f t="shared" si="34"/>
        <v>11670611</v>
      </c>
      <c r="W102" s="81"/>
      <c r="X102" s="81"/>
      <c r="Y102" s="207">
        <f t="shared" si="36"/>
        <v>0.73981490549789586</v>
      </c>
    </row>
    <row r="103" spans="1:25" s="3" customFormat="1" ht="25" customHeight="1">
      <c r="A103" s="4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51"/>
      <c r="N103" s="35"/>
      <c r="O103" s="35"/>
      <c r="P103" s="81"/>
      <c r="Q103" s="81">
        <f t="shared" ref="Q103" si="39">T103</f>
        <v>0</v>
      </c>
      <c r="R103" s="81">
        <f t="shared" si="32"/>
        <v>0</v>
      </c>
      <c r="S103" s="81"/>
      <c r="T103" s="81"/>
      <c r="U103" s="81">
        <f t="shared" si="33"/>
        <v>0</v>
      </c>
      <c r="V103" s="81">
        <f t="shared" si="34"/>
        <v>0</v>
      </c>
      <c r="W103" s="81">
        <f t="shared" si="37"/>
        <v>0</v>
      </c>
      <c r="X103" s="81">
        <f t="shared" si="35"/>
        <v>0</v>
      </c>
      <c r="Y103" s="207"/>
    </row>
    <row r="104" spans="1:25" s="3" customFormat="1" ht="34.5" customHeight="1">
      <c r="A104" s="13">
        <v>7</v>
      </c>
      <c r="B104" s="103" t="s">
        <v>19</v>
      </c>
      <c r="C104" s="103" t="s">
        <v>19</v>
      </c>
      <c r="D104" s="14">
        <v>2</v>
      </c>
      <c r="E104" s="103" t="s">
        <v>38</v>
      </c>
      <c r="F104" s="103" t="s">
        <v>54</v>
      </c>
      <c r="G104" s="14"/>
      <c r="H104" s="14"/>
      <c r="I104" s="14"/>
      <c r="J104" s="14"/>
      <c r="K104" s="14"/>
      <c r="L104" s="14"/>
      <c r="M104" s="30"/>
      <c r="N104" s="41" t="s">
        <v>82</v>
      </c>
      <c r="O104" s="32">
        <f>O105</f>
        <v>1054036000</v>
      </c>
      <c r="P104" s="165">
        <f>P105</f>
        <v>840017360</v>
      </c>
      <c r="Q104" s="165">
        <f>Q105</f>
        <v>81660432</v>
      </c>
      <c r="R104" s="165">
        <f t="shared" si="32"/>
        <v>921677792</v>
      </c>
      <c r="S104" s="165">
        <f>S105</f>
        <v>840058064</v>
      </c>
      <c r="T104" s="165">
        <f>T105</f>
        <v>164022544</v>
      </c>
      <c r="U104" s="165">
        <f t="shared" si="33"/>
        <v>1004080608</v>
      </c>
      <c r="V104" s="165">
        <f t="shared" si="34"/>
        <v>49955392</v>
      </c>
      <c r="W104" s="165"/>
      <c r="X104" s="165">
        <f t="shared" si="35"/>
        <v>-82402816</v>
      </c>
      <c r="Y104" s="213">
        <f t="shared" si="36"/>
        <v>0.95260561119354559</v>
      </c>
    </row>
    <row r="105" spans="1:25" s="3" customFormat="1" ht="34.5" customHeight="1">
      <c r="A105" s="11">
        <v>7</v>
      </c>
      <c r="B105" s="104" t="s">
        <v>19</v>
      </c>
      <c r="C105" s="104" t="s">
        <v>19</v>
      </c>
      <c r="D105" s="12">
        <v>2</v>
      </c>
      <c r="E105" s="104" t="s">
        <v>38</v>
      </c>
      <c r="F105" s="104" t="s">
        <v>54</v>
      </c>
      <c r="G105" s="12">
        <v>5</v>
      </c>
      <c r="H105" s="12">
        <v>1</v>
      </c>
      <c r="I105" s="104" t="s">
        <v>22</v>
      </c>
      <c r="J105" s="107" t="s">
        <v>22</v>
      </c>
      <c r="K105" s="36"/>
      <c r="L105" s="36"/>
      <c r="M105" s="51"/>
      <c r="N105" s="53" t="s">
        <v>75</v>
      </c>
      <c r="O105" s="38">
        <f>O106+O111</f>
        <v>1054036000</v>
      </c>
      <c r="P105" s="82">
        <f>P106+P111</f>
        <v>840017360</v>
      </c>
      <c r="Q105" s="82">
        <f>Q106+Q111</f>
        <v>81660432</v>
      </c>
      <c r="R105" s="82">
        <f t="shared" si="32"/>
        <v>921677792</v>
      </c>
      <c r="S105" s="82">
        <f>S106+S111</f>
        <v>840058064</v>
      </c>
      <c r="T105" s="82">
        <f>T106+T111</f>
        <v>164022544</v>
      </c>
      <c r="U105" s="82">
        <f t="shared" si="33"/>
        <v>1004080608</v>
      </c>
      <c r="V105" s="82">
        <f t="shared" si="34"/>
        <v>49955392</v>
      </c>
      <c r="W105" s="82"/>
      <c r="X105" s="82">
        <f t="shared" si="35"/>
        <v>-82402816</v>
      </c>
      <c r="Y105" s="209">
        <f t="shared" si="36"/>
        <v>0.95260561119354559</v>
      </c>
    </row>
    <row r="106" spans="1:25" s="3" customFormat="1" ht="34.5" customHeight="1">
      <c r="A106" s="11">
        <v>7</v>
      </c>
      <c r="B106" s="104" t="s">
        <v>19</v>
      </c>
      <c r="C106" s="104" t="s">
        <v>19</v>
      </c>
      <c r="D106" s="12">
        <v>2</v>
      </c>
      <c r="E106" s="104" t="s">
        <v>38</v>
      </c>
      <c r="F106" s="104" t="s">
        <v>54</v>
      </c>
      <c r="G106" s="12">
        <v>5</v>
      </c>
      <c r="H106" s="12">
        <v>1</v>
      </c>
      <c r="I106" s="104" t="s">
        <v>22</v>
      </c>
      <c r="J106" s="107" t="s">
        <v>22</v>
      </c>
      <c r="K106" s="107" t="s">
        <v>19</v>
      </c>
      <c r="L106" s="36"/>
      <c r="M106" s="51"/>
      <c r="N106" s="53" t="s">
        <v>76</v>
      </c>
      <c r="O106" s="38">
        <f>SUM(O107:O110)</f>
        <v>1041940000</v>
      </c>
      <c r="P106" s="82">
        <f>SUM(P107:P110)</f>
        <v>834980000</v>
      </c>
      <c r="Q106" s="82">
        <f>SUM(Q107:Q110)</f>
        <v>81060000</v>
      </c>
      <c r="R106" s="82">
        <f t="shared" si="32"/>
        <v>916040000</v>
      </c>
      <c r="S106" s="82">
        <f>SUM(S107:S110)</f>
        <v>834980000</v>
      </c>
      <c r="T106" s="82">
        <f>SUM(T107:T110)</f>
        <v>163300000</v>
      </c>
      <c r="U106" s="82">
        <f t="shared" si="33"/>
        <v>998280000</v>
      </c>
      <c r="V106" s="82">
        <f t="shared" si="34"/>
        <v>43660000</v>
      </c>
      <c r="W106" s="82"/>
      <c r="X106" s="82">
        <f t="shared" si="35"/>
        <v>-82240000</v>
      </c>
      <c r="Y106" s="209">
        <f t="shared" si="36"/>
        <v>0.95809739524348814</v>
      </c>
    </row>
    <row r="107" spans="1:25" s="3" customFormat="1" ht="34.5" customHeight="1">
      <c r="A107" s="15">
        <v>7</v>
      </c>
      <c r="B107" s="105" t="s">
        <v>19</v>
      </c>
      <c r="C107" s="105" t="s">
        <v>19</v>
      </c>
      <c r="D107" s="16">
        <v>2</v>
      </c>
      <c r="E107" s="105" t="s">
        <v>38</v>
      </c>
      <c r="F107" s="105" t="s">
        <v>54</v>
      </c>
      <c r="G107" s="16">
        <v>5</v>
      </c>
      <c r="H107" s="16">
        <v>1</v>
      </c>
      <c r="I107" s="105" t="s">
        <v>22</v>
      </c>
      <c r="J107" s="106" t="s">
        <v>22</v>
      </c>
      <c r="K107" s="106" t="s">
        <v>19</v>
      </c>
      <c r="L107" s="106" t="s">
        <v>56</v>
      </c>
      <c r="M107" s="51">
        <v>6</v>
      </c>
      <c r="N107" s="34" t="s">
        <v>83</v>
      </c>
      <c r="O107" s="35">
        <f>'SPJ FUNGSIONAL '!O113</f>
        <v>428700000</v>
      </c>
      <c r="P107" s="81">
        <f>'[1]LRA SP2D'!$R$107</f>
        <v>341500000</v>
      </c>
      <c r="Q107" s="81">
        <v>33700000</v>
      </c>
      <c r="R107" s="81">
        <f t="shared" si="32"/>
        <v>375200000</v>
      </c>
      <c r="S107" s="81">
        <f>'SPJ FUNGSIONAL '!V113</f>
        <v>341500000</v>
      </c>
      <c r="T107" s="81">
        <f>'SPJ FUNGSIONAL '!W113</f>
        <v>67700000</v>
      </c>
      <c r="U107" s="81">
        <f t="shared" si="33"/>
        <v>409200000</v>
      </c>
      <c r="V107" s="81">
        <f t="shared" si="34"/>
        <v>19500000</v>
      </c>
      <c r="W107" s="81"/>
      <c r="X107" s="81">
        <f t="shared" si="35"/>
        <v>-34000000</v>
      </c>
      <c r="Y107" s="207">
        <f t="shared" si="36"/>
        <v>0.95451364590622811</v>
      </c>
    </row>
    <row r="108" spans="1:25" s="3" customFormat="1" ht="34.5" customHeight="1">
      <c r="A108" s="15">
        <v>7</v>
      </c>
      <c r="B108" s="105" t="s">
        <v>19</v>
      </c>
      <c r="C108" s="105" t="s">
        <v>19</v>
      </c>
      <c r="D108" s="16">
        <v>2</v>
      </c>
      <c r="E108" s="105" t="s">
        <v>38</v>
      </c>
      <c r="F108" s="105" t="s">
        <v>54</v>
      </c>
      <c r="G108" s="16">
        <v>5</v>
      </c>
      <c r="H108" s="16">
        <v>1</v>
      </c>
      <c r="I108" s="105" t="s">
        <v>22</v>
      </c>
      <c r="J108" s="106" t="s">
        <v>22</v>
      </c>
      <c r="K108" s="106" t="s">
        <v>19</v>
      </c>
      <c r="L108" s="106" t="s">
        <v>52</v>
      </c>
      <c r="M108" s="108" t="s">
        <v>79</v>
      </c>
      <c r="N108" s="34" t="s">
        <v>84</v>
      </c>
      <c r="O108" s="35">
        <f>'SPJ FUNGSIONAL '!O114</f>
        <v>255080000</v>
      </c>
      <c r="P108" s="81">
        <f>'[1]LRA SP2D'!$R$108</f>
        <v>193160000</v>
      </c>
      <c r="Q108" s="81">
        <v>19440000</v>
      </c>
      <c r="R108" s="81">
        <f t="shared" si="32"/>
        <v>212600000</v>
      </c>
      <c r="S108" s="81">
        <f>'SPJ FUNGSIONAL '!V114</f>
        <v>193160000</v>
      </c>
      <c r="T108" s="81">
        <f>'SPJ FUNGSIONAL '!W114</f>
        <v>38880000</v>
      </c>
      <c r="U108" s="81">
        <f t="shared" si="33"/>
        <v>232040000</v>
      </c>
      <c r="V108" s="81">
        <f t="shared" si="34"/>
        <v>23040000</v>
      </c>
      <c r="W108" s="81"/>
      <c r="X108" s="81">
        <f t="shared" si="35"/>
        <v>-19440000</v>
      </c>
      <c r="Y108" s="207">
        <f t="shared" si="36"/>
        <v>0.90967539595421043</v>
      </c>
    </row>
    <row r="109" spans="1:25" s="3" customFormat="1" ht="34.5" customHeight="1">
      <c r="A109" s="15">
        <v>7</v>
      </c>
      <c r="B109" s="105" t="s">
        <v>19</v>
      </c>
      <c r="C109" s="105" t="s">
        <v>19</v>
      </c>
      <c r="D109" s="16">
        <v>2</v>
      </c>
      <c r="E109" s="105" t="s">
        <v>38</v>
      </c>
      <c r="F109" s="105" t="s">
        <v>54</v>
      </c>
      <c r="G109" s="16">
        <v>5</v>
      </c>
      <c r="H109" s="16">
        <v>1</v>
      </c>
      <c r="I109" s="105" t="s">
        <v>22</v>
      </c>
      <c r="J109" s="106" t="s">
        <v>22</v>
      </c>
      <c r="K109" s="106" t="s">
        <v>19</v>
      </c>
      <c r="L109" s="106" t="s">
        <v>52</v>
      </c>
      <c r="M109" s="108" t="s">
        <v>10</v>
      </c>
      <c r="N109" s="34" t="s">
        <v>85</v>
      </c>
      <c r="O109" s="35">
        <f>'SPJ FUNGSIONAL '!O115</f>
        <v>307160000</v>
      </c>
      <c r="P109" s="81">
        <f>'[1]LRA SP2D'!$R$109</f>
        <v>258040000</v>
      </c>
      <c r="Q109" s="81">
        <v>23920000</v>
      </c>
      <c r="R109" s="81">
        <f t="shared" si="32"/>
        <v>281960000</v>
      </c>
      <c r="S109" s="81">
        <f>'SPJ FUNGSIONAL '!V115</f>
        <v>258040000</v>
      </c>
      <c r="T109" s="81">
        <f>'SPJ FUNGSIONAL '!W115</f>
        <v>48720000</v>
      </c>
      <c r="U109" s="81">
        <f t="shared" si="33"/>
        <v>306760000</v>
      </c>
      <c r="V109" s="81">
        <f t="shared" si="34"/>
        <v>400000</v>
      </c>
      <c r="W109" s="81"/>
      <c r="X109" s="81">
        <f t="shared" si="35"/>
        <v>-24800000</v>
      </c>
      <c r="Y109" s="207">
        <f t="shared" si="36"/>
        <v>0.99869774710248727</v>
      </c>
    </row>
    <row r="110" spans="1:25" s="3" customFormat="1" ht="34.5" customHeight="1">
      <c r="A110" s="15">
        <v>7</v>
      </c>
      <c r="B110" s="105" t="s">
        <v>19</v>
      </c>
      <c r="C110" s="105" t="s">
        <v>19</v>
      </c>
      <c r="D110" s="16">
        <v>2</v>
      </c>
      <c r="E110" s="105" t="s">
        <v>38</v>
      </c>
      <c r="F110" s="105" t="s">
        <v>54</v>
      </c>
      <c r="G110" s="16">
        <v>5</v>
      </c>
      <c r="H110" s="16">
        <v>1</v>
      </c>
      <c r="I110" s="105" t="s">
        <v>22</v>
      </c>
      <c r="J110" s="106" t="s">
        <v>22</v>
      </c>
      <c r="K110" s="106" t="s">
        <v>19</v>
      </c>
      <c r="L110" s="106" t="s">
        <v>52</v>
      </c>
      <c r="M110" s="108" t="s">
        <v>86</v>
      </c>
      <c r="N110" s="34" t="s">
        <v>87</v>
      </c>
      <c r="O110" s="35">
        <f>'SPJ FUNGSIONAL '!O116</f>
        <v>51000000</v>
      </c>
      <c r="P110" s="81">
        <f>'[1]LRA SP2D'!$R$110</f>
        <v>42280000</v>
      </c>
      <c r="Q110" s="81">
        <v>4000000</v>
      </c>
      <c r="R110" s="81">
        <f t="shared" si="32"/>
        <v>46280000</v>
      </c>
      <c r="S110" s="81">
        <f>'SPJ FUNGSIONAL '!V116</f>
        <v>42280000</v>
      </c>
      <c r="T110" s="81">
        <f>'SPJ FUNGSIONAL '!W116</f>
        <v>8000000</v>
      </c>
      <c r="U110" s="81">
        <f t="shared" si="33"/>
        <v>50280000</v>
      </c>
      <c r="V110" s="81">
        <f t="shared" si="34"/>
        <v>720000</v>
      </c>
      <c r="W110" s="81"/>
      <c r="X110" s="81">
        <f t="shared" si="35"/>
        <v>-4000000</v>
      </c>
      <c r="Y110" s="207">
        <f t="shared" si="36"/>
        <v>0.98588235294117643</v>
      </c>
    </row>
    <row r="111" spans="1:25" s="3" customFormat="1" ht="34.5" customHeight="1">
      <c r="A111" s="11">
        <v>7</v>
      </c>
      <c r="B111" s="104" t="s">
        <v>19</v>
      </c>
      <c r="C111" s="104" t="s">
        <v>19</v>
      </c>
      <c r="D111" s="12">
        <v>2</v>
      </c>
      <c r="E111" s="104" t="s">
        <v>38</v>
      </c>
      <c r="F111" s="104" t="s">
        <v>54</v>
      </c>
      <c r="G111" s="12">
        <v>5</v>
      </c>
      <c r="H111" s="12">
        <v>1</v>
      </c>
      <c r="I111" s="104" t="s">
        <v>22</v>
      </c>
      <c r="J111" s="107" t="s">
        <v>22</v>
      </c>
      <c r="K111" s="107" t="s">
        <v>22</v>
      </c>
      <c r="L111" s="36"/>
      <c r="M111" s="51"/>
      <c r="N111" s="53" t="s">
        <v>88</v>
      </c>
      <c r="O111" s="38">
        <f>O112+O113</f>
        <v>12096000</v>
      </c>
      <c r="P111" s="82">
        <f>P112+P113</f>
        <v>5037360</v>
      </c>
      <c r="Q111" s="82">
        <f>Q112+Q113</f>
        <v>600432</v>
      </c>
      <c r="R111" s="82">
        <f t="shared" si="32"/>
        <v>5637792</v>
      </c>
      <c r="S111" s="82">
        <f>S112+S113</f>
        <v>5078064</v>
      </c>
      <c r="T111" s="82">
        <f>T112+T113</f>
        <v>722544</v>
      </c>
      <c r="U111" s="82">
        <f t="shared" si="33"/>
        <v>5800608</v>
      </c>
      <c r="V111" s="82">
        <f t="shared" si="34"/>
        <v>6295392</v>
      </c>
      <c r="W111" s="82"/>
      <c r="X111" s="82">
        <f t="shared" si="35"/>
        <v>-162816</v>
      </c>
      <c r="Y111" s="209">
        <f t="shared" si="36"/>
        <v>0.47954761904761906</v>
      </c>
    </row>
    <row r="112" spans="1:25" s="3" customFormat="1" ht="34.5" customHeight="1">
      <c r="A112" s="15">
        <v>7</v>
      </c>
      <c r="B112" s="105" t="s">
        <v>19</v>
      </c>
      <c r="C112" s="105" t="s">
        <v>19</v>
      </c>
      <c r="D112" s="16">
        <v>2</v>
      </c>
      <c r="E112" s="105" t="s">
        <v>38</v>
      </c>
      <c r="F112" s="105" t="s">
        <v>54</v>
      </c>
      <c r="G112" s="16">
        <v>5</v>
      </c>
      <c r="H112" s="16">
        <v>1</v>
      </c>
      <c r="I112" s="105" t="s">
        <v>22</v>
      </c>
      <c r="J112" s="106" t="s">
        <v>22</v>
      </c>
      <c r="K112" s="106" t="s">
        <v>22</v>
      </c>
      <c r="L112" s="106" t="s">
        <v>27</v>
      </c>
      <c r="M112" s="108" t="s">
        <v>89</v>
      </c>
      <c r="N112" s="34" t="s">
        <v>90</v>
      </c>
      <c r="O112" s="35">
        <f>'SPJ FUNGSIONAL '!O118</f>
        <v>3024000</v>
      </c>
      <c r="P112" s="81">
        <f>'[1]LRA SP2D'!$R$112</f>
        <v>2238750</v>
      </c>
      <c r="Q112" s="81">
        <v>266850</v>
      </c>
      <c r="R112" s="81">
        <f t="shared" si="32"/>
        <v>2505600</v>
      </c>
      <c r="S112" s="81">
        <f>'SPJ FUNGSIONAL '!V118</f>
        <v>2256840</v>
      </c>
      <c r="T112" s="81">
        <f>'SPJ FUNGSIONAL '!W118</f>
        <v>330168</v>
      </c>
      <c r="U112" s="81">
        <f t="shared" si="33"/>
        <v>2587008</v>
      </c>
      <c r="V112" s="81">
        <f t="shared" si="34"/>
        <v>436992</v>
      </c>
      <c r="W112" s="81"/>
      <c r="X112" s="81">
        <f t="shared" si="35"/>
        <v>-81408</v>
      </c>
      <c r="Y112" s="207">
        <f t="shared" si="36"/>
        <v>0.85549206349206353</v>
      </c>
    </row>
    <row r="113" spans="1:25" s="3" customFormat="1" ht="34.5" customHeight="1">
      <c r="A113" s="15">
        <v>7</v>
      </c>
      <c r="B113" s="105" t="s">
        <v>19</v>
      </c>
      <c r="C113" s="105" t="s">
        <v>19</v>
      </c>
      <c r="D113" s="16">
        <v>2</v>
      </c>
      <c r="E113" s="105" t="s">
        <v>38</v>
      </c>
      <c r="F113" s="105" t="s">
        <v>54</v>
      </c>
      <c r="G113" s="16">
        <v>5</v>
      </c>
      <c r="H113" s="16">
        <v>1</v>
      </c>
      <c r="I113" s="105" t="s">
        <v>22</v>
      </c>
      <c r="J113" s="106" t="s">
        <v>22</v>
      </c>
      <c r="K113" s="106" t="s">
        <v>22</v>
      </c>
      <c r="L113" s="106" t="s">
        <v>27</v>
      </c>
      <c r="M113" s="108" t="s">
        <v>14</v>
      </c>
      <c r="N113" s="34" t="s">
        <v>91</v>
      </c>
      <c r="O113" s="35">
        <f>'SPJ FUNGSIONAL '!O119</f>
        <v>9072000</v>
      </c>
      <c r="P113" s="81">
        <f>'[1]LRA SP2D'!$R$113</f>
        <v>2798610</v>
      </c>
      <c r="Q113" s="81">
        <v>333582</v>
      </c>
      <c r="R113" s="81">
        <f t="shared" si="32"/>
        <v>3132192</v>
      </c>
      <c r="S113" s="81">
        <f>'SPJ FUNGSIONAL '!V119</f>
        <v>2821224</v>
      </c>
      <c r="T113" s="81">
        <f>'SPJ FUNGSIONAL '!W119</f>
        <v>392376</v>
      </c>
      <c r="U113" s="81">
        <f t="shared" si="33"/>
        <v>3213600</v>
      </c>
      <c r="V113" s="81">
        <f t="shared" si="34"/>
        <v>5858400</v>
      </c>
      <c r="W113" s="81"/>
      <c r="X113" s="81">
        <f t="shared" si="35"/>
        <v>-81408</v>
      </c>
      <c r="Y113" s="207">
        <f t="shared" si="36"/>
        <v>0.35423280423280423</v>
      </c>
    </row>
    <row r="114" spans="1:25" s="3" customFormat="1" ht="25" customHeight="1">
      <c r="A114" s="15"/>
      <c r="B114" s="16"/>
      <c r="C114" s="16"/>
      <c r="D114" s="16"/>
      <c r="E114" s="16"/>
      <c r="F114" s="16"/>
      <c r="G114" s="16"/>
      <c r="H114" s="16"/>
      <c r="I114" s="16"/>
      <c r="J114" s="36"/>
      <c r="K114" s="36"/>
      <c r="L114" s="36"/>
      <c r="M114" s="51"/>
      <c r="N114" s="34"/>
      <c r="O114" s="35"/>
      <c r="P114" s="81"/>
      <c r="Q114" s="81"/>
      <c r="R114" s="81">
        <f t="shared" si="32"/>
        <v>0</v>
      </c>
      <c r="S114" s="81"/>
      <c r="T114" s="81"/>
      <c r="U114" s="81">
        <f t="shared" si="33"/>
        <v>0</v>
      </c>
      <c r="V114" s="81">
        <f t="shared" si="34"/>
        <v>0</v>
      </c>
      <c r="W114" s="81">
        <f t="shared" si="37"/>
        <v>0</v>
      </c>
      <c r="X114" s="81">
        <f t="shared" si="35"/>
        <v>0</v>
      </c>
      <c r="Y114" s="207"/>
    </row>
    <row r="115" spans="1:25" s="3" customFormat="1" ht="52.5" customHeight="1">
      <c r="A115" s="9">
        <v>7</v>
      </c>
      <c r="B115" s="102" t="s">
        <v>19</v>
      </c>
      <c r="C115" s="102" t="s">
        <v>19</v>
      </c>
      <c r="D115" s="10">
        <v>2</v>
      </c>
      <c r="E115" s="102" t="s">
        <v>40</v>
      </c>
      <c r="F115" s="10"/>
      <c r="G115" s="10"/>
      <c r="H115" s="10"/>
      <c r="I115" s="10"/>
      <c r="J115" s="10"/>
      <c r="K115" s="10"/>
      <c r="L115" s="10"/>
      <c r="M115" s="24"/>
      <c r="N115" s="25" t="s">
        <v>92</v>
      </c>
      <c r="O115" s="26">
        <f>O117+O130+O144</f>
        <v>378544600</v>
      </c>
      <c r="P115" s="26">
        <f t="shared" ref="P115:V115" si="40">P117+P130+P144</f>
        <v>230153153</v>
      </c>
      <c r="Q115" s="26">
        <f t="shared" si="40"/>
        <v>59465350</v>
      </c>
      <c r="R115" s="26">
        <f t="shared" si="40"/>
        <v>289618503</v>
      </c>
      <c r="S115" s="26">
        <f t="shared" si="40"/>
        <v>244401603</v>
      </c>
      <c r="T115" s="26">
        <f t="shared" si="40"/>
        <v>51011400</v>
      </c>
      <c r="U115" s="26">
        <f t="shared" si="40"/>
        <v>295413003</v>
      </c>
      <c r="V115" s="26">
        <f t="shared" si="40"/>
        <v>83131597</v>
      </c>
      <c r="W115" s="163"/>
      <c r="X115" s="163">
        <f>R115-U115</f>
        <v>-5794500</v>
      </c>
      <c r="Y115" s="211">
        <f t="shared" si="36"/>
        <v>0.78039153906831582</v>
      </c>
    </row>
    <row r="116" spans="1:25" s="3" customFormat="1" ht="25" customHeight="1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27"/>
      <c r="N116" s="42"/>
      <c r="O116" s="29"/>
      <c r="P116" s="81"/>
      <c r="Q116" s="81"/>
      <c r="R116" s="81">
        <f t="shared" si="32"/>
        <v>0</v>
      </c>
      <c r="S116" s="81"/>
      <c r="T116" s="81"/>
      <c r="U116" s="81">
        <f t="shared" si="33"/>
        <v>0</v>
      </c>
      <c r="V116" s="81">
        <f t="shared" si="34"/>
        <v>0</v>
      </c>
      <c r="W116" s="81">
        <f t="shared" si="37"/>
        <v>0</v>
      </c>
      <c r="X116" s="81">
        <f t="shared" si="35"/>
        <v>0</v>
      </c>
      <c r="Y116" s="207"/>
    </row>
    <row r="117" spans="1:25" s="3" customFormat="1" ht="59.25" customHeight="1">
      <c r="A117" s="13">
        <v>7</v>
      </c>
      <c r="B117" s="103" t="s">
        <v>19</v>
      </c>
      <c r="C117" s="103" t="s">
        <v>19</v>
      </c>
      <c r="D117" s="14">
        <v>2</v>
      </c>
      <c r="E117" s="103" t="s">
        <v>40</v>
      </c>
      <c r="F117" s="103" t="s">
        <v>22</v>
      </c>
      <c r="G117" s="14"/>
      <c r="H117" s="14"/>
      <c r="I117" s="14"/>
      <c r="J117" s="14"/>
      <c r="K117" s="14"/>
      <c r="L117" s="14"/>
      <c r="M117" s="30"/>
      <c r="N117" s="41" t="s">
        <v>93</v>
      </c>
      <c r="O117" s="32">
        <f>O118</f>
        <v>200822100</v>
      </c>
      <c r="P117" s="165">
        <f>P118</f>
        <v>136719450</v>
      </c>
      <c r="Q117" s="165">
        <f>Q118</f>
        <v>28990850</v>
      </c>
      <c r="R117" s="165">
        <f t="shared" si="32"/>
        <v>165710300</v>
      </c>
      <c r="S117" s="165">
        <f>S118</f>
        <v>141922900</v>
      </c>
      <c r="T117" s="165">
        <f>T118</f>
        <v>26022900</v>
      </c>
      <c r="U117" s="165">
        <f t="shared" si="33"/>
        <v>167945800</v>
      </c>
      <c r="V117" s="165">
        <f t="shared" si="34"/>
        <v>32876300</v>
      </c>
      <c r="W117" s="165"/>
      <c r="X117" s="165">
        <f t="shared" si="35"/>
        <v>-2235500</v>
      </c>
      <c r="Y117" s="213">
        <f t="shared" si="36"/>
        <v>0.83629142410123192</v>
      </c>
    </row>
    <row r="118" spans="1:25" s="3" customFormat="1" ht="43.5" customHeight="1">
      <c r="A118" s="11">
        <v>7</v>
      </c>
      <c r="B118" s="104" t="s">
        <v>19</v>
      </c>
      <c r="C118" s="104" t="s">
        <v>19</v>
      </c>
      <c r="D118" s="12">
        <v>2</v>
      </c>
      <c r="E118" s="104" t="s">
        <v>40</v>
      </c>
      <c r="F118" s="104" t="s">
        <v>22</v>
      </c>
      <c r="G118" s="12">
        <v>5</v>
      </c>
      <c r="H118" s="12">
        <v>1</v>
      </c>
      <c r="I118" s="104" t="s">
        <v>22</v>
      </c>
      <c r="J118" s="50"/>
      <c r="K118" s="36"/>
      <c r="L118" s="36"/>
      <c r="M118" s="51"/>
      <c r="N118" s="53" t="s">
        <v>49</v>
      </c>
      <c r="O118" s="38">
        <f>O119+O122+O126</f>
        <v>200822100</v>
      </c>
      <c r="P118" s="82">
        <f>P119+P122+P126</f>
        <v>136719450</v>
      </c>
      <c r="Q118" s="82">
        <f>Q119+Q122+Q126</f>
        <v>28990850</v>
      </c>
      <c r="R118" s="82">
        <f t="shared" si="32"/>
        <v>165710300</v>
      </c>
      <c r="S118" s="82">
        <f>S119+S122+S126</f>
        <v>141922900</v>
      </c>
      <c r="T118" s="82">
        <f>T119+T122+T126</f>
        <v>26022900</v>
      </c>
      <c r="U118" s="82">
        <f t="shared" si="33"/>
        <v>167945800</v>
      </c>
      <c r="V118" s="82">
        <f t="shared" si="34"/>
        <v>32876300</v>
      </c>
      <c r="W118" s="82"/>
      <c r="X118" s="82">
        <f t="shared" si="35"/>
        <v>-2235500</v>
      </c>
      <c r="Y118" s="209">
        <f t="shared" si="36"/>
        <v>0.83629142410123192</v>
      </c>
    </row>
    <row r="119" spans="1:25" s="3" customFormat="1" ht="43.5" customHeight="1">
      <c r="A119" s="11">
        <v>7</v>
      </c>
      <c r="B119" s="104" t="s">
        <v>19</v>
      </c>
      <c r="C119" s="104" t="s">
        <v>19</v>
      </c>
      <c r="D119" s="12">
        <v>2</v>
      </c>
      <c r="E119" s="104" t="s">
        <v>40</v>
      </c>
      <c r="F119" s="104" t="s">
        <v>22</v>
      </c>
      <c r="G119" s="12">
        <v>5</v>
      </c>
      <c r="H119" s="12">
        <v>1</v>
      </c>
      <c r="I119" s="104" t="s">
        <v>22</v>
      </c>
      <c r="J119" s="107" t="s">
        <v>19</v>
      </c>
      <c r="K119" s="36"/>
      <c r="L119" s="36"/>
      <c r="M119" s="51"/>
      <c r="N119" s="53" t="s">
        <v>65</v>
      </c>
      <c r="O119" s="38">
        <f t="shared" ref="O119:Q120" si="41">O120</f>
        <v>93922100</v>
      </c>
      <c r="P119" s="82">
        <f t="shared" si="41"/>
        <v>75651000</v>
      </c>
      <c r="Q119" s="82">
        <f t="shared" si="41"/>
        <v>9295000</v>
      </c>
      <c r="R119" s="82">
        <f t="shared" si="32"/>
        <v>84946000</v>
      </c>
      <c r="S119" s="82">
        <f>S120</f>
        <v>75651000</v>
      </c>
      <c r="T119" s="82">
        <f>T120</f>
        <v>9295000</v>
      </c>
      <c r="U119" s="82">
        <f t="shared" si="33"/>
        <v>84946000</v>
      </c>
      <c r="V119" s="82">
        <f t="shared" si="34"/>
        <v>8976100</v>
      </c>
      <c r="W119" s="82"/>
      <c r="X119" s="82">
        <f t="shared" si="35"/>
        <v>0</v>
      </c>
      <c r="Y119" s="209">
        <f t="shared" si="36"/>
        <v>0.90443037368201951</v>
      </c>
    </row>
    <row r="120" spans="1:25" s="3" customFormat="1" ht="43.5" customHeight="1">
      <c r="A120" s="15">
        <v>7</v>
      </c>
      <c r="B120" s="105" t="s">
        <v>19</v>
      </c>
      <c r="C120" s="105" t="s">
        <v>19</v>
      </c>
      <c r="D120" s="16">
        <v>2</v>
      </c>
      <c r="E120" s="105" t="s">
        <v>40</v>
      </c>
      <c r="F120" s="105" t="s">
        <v>22</v>
      </c>
      <c r="G120" s="16">
        <v>5</v>
      </c>
      <c r="H120" s="16">
        <v>1</v>
      </c>
      <c r="I120" s="105" t="s">
        <v>22</v>
      </c>
      <c r="J120" s="106" t="s">
        <v>19</v>
      </c>
      <c r="K120" s="106" t="s">
        <v>19</v>
      </c>
      <c r="L120" s="36"/>
      <c r="M120" s="51"/>
      <c r="N120" s="42" t="s">
        <v>51</v>
      </c>
      <c r="O120" s="38">
        <f t="shared" si="41"/>
        <v>93922100</v>
      </c>
      <c r="P120" s="82">
        <f t="shared" si="41"/>
        <v>75651000</v>
      </c>
      <c r="Q120" s="82">
        <f t="shared" si="41"/>
        <v>9295000</v>
      </c>
      <c r="R120" s="82">
        <f t="shared" si="32"/>
        <v>84946000</v>
      </c>
      <c r="S120" s="82">
        <f>S121</f>
        <v>75651000</v>
      </c>
      <c r="T120" s="82">
        <f>T121</f>
        <v>9295000</v>
      </c>
      <c r="U120" s="82">
        <f t="shared" si="33"/>
        <v>84946000</v>
      </c>
      <c r="V120" s="82">
        <f t="shared" si="34"/>
        <v>8976100</v>
      </c>
      <c r="W120" s="82"/>
      <c r="X120" s="82">
        <f t="shared" si="35"/>
        <v>0</v>
      </c>
      <c r="Y120" s="209">
        <f t="shared" si="36"/>
        <v>0.90443037368201951</v>
      </c>
    </row>
    <row r="121" spans="1:25" s="3" customFormat="1" ht="43.5" customHeight="1">
      <c r="A121" s="15">
        <v>7</v>
      </c>
      <c r="B121" s="105" t="s">
        <v>19</v>
      </c>
      <c r="C121" s="105" t="s">
        <v>19</v>
      </c>
      <c r="D121" s="16">
        <v>2</v>
      </c>
      <c r="E121" s="105" t="s">
        <v>40</v>
      </c>
      <c r="F121" s="105" t="s">
        <v>22</v>
      </c>
      <c r="G121" s="16">
        <v>5</v>
      </c>
      <c r="H121" s="16">
        <v>1</v>
      </c>
      <c r="I121" s="105" t="s">
        <v>22</v>
      </c>
      <c r="J121" s="106" t="s">
        <v>19</v>
      </c>
      <c r="K121" s="106" t="s">
        <v>19</v>
      </c>
      <c r="L121" s="106" t="s">
        <v>27</v>
      </c>
      <c r="M121" s="108" t="s">
        <v>11</v>
      </c>
      <c r="N121" s="34" t="s">
        <v>94</v>
      </c>
      <c r="O121" s="35">
        <f>'SPJ FUNGSIONAL '!O127</f>
        <v>93922100</v>
      </c>
      <c r="P121" s="81">
        <f>'[1]LRA SP2D'!$R$121</f>
        <v>75651000</v>
      </c>
      <c r="Q121" s="81">
        <v>9295000</v>
      </c>
      <c r="R121" s="81">
        <f t="shared" si="32"/>
        <v>84946000</v>
      </c>
      <c r="S121" s="81">
        <f>'SPJ FUNGSIONAL '!V127</f>
        <v>75651000</v>
      </c>
      <c r="T121" s="81">
        <f>'SPJ FUNGSIONAL '!W127</f>
        <v>9295000</v>
      </c>
      <c r="U121" s="81">
        <f t="shared" si="33"/>
        <v>84946000</v>
      </c>
      <c r="V121" s="81">
        <f t="shared" si="34"/>
        <v>8976100</v>
      </c>
      <c r="W121" s="81"/>
      <c r="X121" s="81">
        <f t="shared" si="35"/>
        <v>0</v>
      </c>
      <c r="Y121" s="207">
        <f t="shared" si="36"/>
        <v>0.90443037368201951</v>
      </c>
    </row>
    <row r="122" spans="1:25" s="3" customFormat="1" ht="43.5" customHeight="1">
      <c r="A122" s="11">
        <v>7</v>
      </c>
      <c r="B122" s="104" t="s">
        <v>19</v>
      </c>
      <c r="C122" s="104" t="s">
        <v>19</v>
      </c>
      <c r="D122" s="12">
        <v>2</v>
      </c>
      <c r="E122" s="104" t="s">
        <v>40</v>
      </c>
      <c r="F122" s="104" t="s">
        <v>22</v>
      </c>
      <c r="G122" s="12">
        <v>5</v>
      </c>
      <c r="H122" s="12">
        <v>1</v>
      </c>
      <c r="I122" s="104" t="s">
        <v>22</v>
      </c>
      <c r="J122" s="107" t="s">
        <v>22</v>
      </c>
      <c r="K122" s="36"/>
      <c r="L122" s="36"/>
      <c r="M122" s="51"/>
      <c r="N122" s="53" t="s">
        <v>75</v>
      </c>
      <c r="O122" s="38">
        <f t="shared" ref="O122:Q122" si="42">O123</f>
        <v>14800000</v>
      </c>
      <c r="P122" s="82">
        <f>P123</f>
        <v>4128050</v>
      </c>
      <c r="Q122" s="82">
        <f t="shared" si="42"/>
        <v>3040350</v>
      </c>
      <c r="R122" s="82">
        <f t="shared" si="32"/>
        <v>7168400</v>
      </c>
      <c r="S122" s="82">
        <f>'SPJ FUNGSIONAL '!V128</f>
        <v>4388500</v>
      </c>
      <c r="T122" s="82">
        <f>T123</f>
        <v>3097400</v>
      </c>
      <c r="U122" s="82">
        <f t="shared" si="33"/>
        <v>7485900</v>
      </c>
      <c r="V122" s="82">
        <f t="shared" si="34"/>
        <v>7314100</v>
      </c>
      <c r="W122" s="82"/>
      <c r="X122" s="82">
        <f t="shared" si="35"/>
        <v>-317500</v>
      </c>
      <c r="Y122" s="209">
        <f t="shared" si="36"/>
        <v>0.50580405405405404</v>
      </c>
    </row>
    <row r="123" spans="1:25" s="3" customFormat="1" ht="43.5" customHeight="1">
      <c r="A123" s="11">
        <v>7</v>
      </c>
      <c r="B123" s="104" t="s">
        <v>19</v>
      </c>
      <c r="C123" s="104" t="s">
        <v>19</v>
      </c>
      <c r="D123" s="12">
        <v>2</v>
      </c>
      <c r="E123" s="104" t="s">
        <v>40</v>
      </c>
      <c r="F123" s="104" t="s">
        <v>22</v>
      </c>
      <c r="G123" s="12">
        <v>5</v>
      </c>
      <c r="H123" s="12">
        <v>1</v>
      </c>
      <c r="I123" s="104" t="s">
        <v>22</v>
      </c>
      <c r="J123" s="107" t="s">
        <v>22</v>
      </c>
      <c r="K123" s="107" t="s">
        <v>19</v>
      </c>
      <c r="L123" s="36"/>
      <c r="M123" s="51"/>
      <c r="N123" s="53" t="s">
        <v>76</v>
      </c>
      <c r="O123" s="38">
        <f>O124+O125</f>
        <v>14800000</v>
      </c>
      <c r="P123" s="38">
        <f>P124+P125</f>
        <v>4128050</v>
      </c>
      <c r="Q123" s="38">
        <f t="shared" ref="Q123" si="43">Q124+Q125</f>
        <v>3040350</v>
      </c>
      <c r="R123" s="82">
        <f t="shared" si="32"/>
        <v>7168400</v>
      </c>
      <c r="S123" s="38">
        <f t="shared" ref="S123:T123" si="44">S124+S125</f>
        <v>4388500</v>
      </c>
      <c r="T123" s="38">
        <f t="shared" si="44"/>
        <v>3097400</v>
      </c>
      <c r="U123" s="82">
        <f t="shared" si="33"/>
        <v>7485900</v>
      </c>
      <c r="V123" s="82">
        <f t="shared" si="34"/>
        <v>7314100</v>
      </c>
      <c r="W123" s="82"/>
      <c r="X123" s="82">
        <f t="shared" si="35"/>
        <v>-317500</v>
      </c>
      <c r="Y123" s="209">
        <f t="shared" si="36"/>
        <v>0.50580405405405404</v>
      </c>
    </row>
    <row r="124" spans="1:25" s="3" customFormat="1" ht="43.5" customHeight="1">
      <c r="A124" s="15">
        <v>7</v>
      </c>
      <c r="B124" s="105" t="s">
        <v>19</v>
      </c>
      <c r="C124" s="105" t="s">
        <v>19</v>
      </c>
      <c r="D124" s="16">
        <v>2</v>
      </c>
      <c r="E124" s="105" t="s">
        <v>40</v>
      </c>
      <c r="F124" s="105" t="s">
        <v>22</v>
      </c>
      <c r="G124" s="16">
        <v>5</v>
      </c>
      <c r="H124" s="16">
        <v>1</v>
      </c>
      <c r="I124" s="105" t="s">
        <v>22</v>
      </c>
      <c r="J124" s="106" t="s">
        <v>22</v>
      </c>
      <c r="K124" s="106" t="s">
        <v>19</v>
      </c>
      <c r="L124" s="106" t="s">
        <v>66</v>
      </c>
      <c r="M124" s="108">
        <v>0</v>
      </c>
      <c r="N124" s="34" t="s">
        <v>235</v>
      </c>
      <c r="O124" s="35">
        <f>'SPJ FUNGSIONAL '!O130</f>
        <v>300000</v>
      </c>
      <c r="P124" s="81">
        <f>S124</f>
        <v>230000</v>
      </c>
      <c r="Q124" s="81">
        <f>T124</f>
        <v>0</v>
      </c>
      <c r="R124" s="81">
        <f t="shared" si="32"/>
        <v>230000</v>
      </c>
      <c r="S124" s="81">
        <f>'SPJ FUNGSIONAL '!V130</f>
        <v>230000</v>
      </c>
      <c r="T124" s="81">
        <f>'SPJ FUNGSIONAL '!W130</f>
        <v>0</v>
      </c>
      <c r="U124" s="81">
        <f t="shared" si="33"/>
        <v>230000</v>
      </c>
      <c r="V124" s="81">
        <f t="shared" si="34"/>
        <v>70000</v>
      </c>
      <c r="W124" s="81">
        <f t="shared" si="37"/>
        <v>0</v>
      </c>
      <c r="X124" s="81">
        <f t="shared" si="35"/>
        <v>0</v>
      </c>
      <c r="Y124" s="207">
        <f t="shared" si="36"/>
        <v>0.76666666666666672</v>
      </c>
    </row>
    <row r="125" spans="1:25" s="3" customFormat="1" ht="43.5" customHeight="1">
      <c r="A125" s="15">
        <v>7</v>
      </c>
      <c r="B125" s="105" t="s">
        <v>19</v>
      </c>
      <c r="C125" s="105" t="s">
        <v>19</v>
      </c>
      <c r="D125" s="16">
        <v>2</v>
      </c>
      <c r="E125" s="105" t="s">
        <v>40</v>
      </c>
      <c r="F125" s="105" t="s">
        <v>22</v>
      </c>
      <c r="G125" s="16">
        <v>5</v>
      </c>
      <c r="H125" s="16">
        <v>1</v>
      </c>
      <c r="I125" s="105" t="s">
        <v>22</v>
      </c>
      <c r="J125" s="106" t="s">
        <v>22</v>
      </c>
      <c r="K125" s="106" t="s">
        <v>19</v>
      </c>
      <c r="L125" s="106" t="s">
        <v>78</v>
      </c>
      <c r="M125" s="108" t="s">
        <v>14</v>
      </c>
      <c r="N125" s="34" t="s">
        <v>95</v>
      </c>
      <c r="O125" s="35">
        <f>'SPJ FUNGSIONAL '!O131</f>
        <v>14500000</v>
      </c>
      <c r="P125" s="81">
        <f>'[1]LRA SP2D'!$R$125</f>
        <v>3898050</v>
      </c>
      <c r="Q125" s="81">
        <v>3040350</v>
      </c>
      <c r="R125" s="81">
        <f>SUM(P125:Q125)</f>
        <v>6938400</v>
      </c>
      <c r="S125" s="81">
        <f>'SPJ FUNGSIONAL '!V131</f>
        <v>4158500</v>
      </c>
      <c r="T125" s="81">
        <f>'SPJ FUNGSIONAL '!W131</f>
        <v>3097400</v>
      </c>
      <c r="U125" s="81">
        <f>SUM(S125:T125)</f>
        <v>7255900</v>
      </c>
      <c r="V125" s="81">
        <f t="shared" si="34"/>
        <v>7244100</v>
      </c>
      <c r="W125" s="81"/>
      <c r="X125" s="81">
        <f t="shared" ref="X125" si="45">R125-U125</f>
        <v>-317500</v>
      </c>
      <c r="Y125" s="207">
        <f t="shared" ref="Y125" si="46">U125/O125*100%</f>
        <v>0.5004068965517241</v>
      </c>
    </row>
    <row r="126" spans="1:25" s="3" customFormat="1" ht="43.5" customHeight="1">
      <c r="A126" s="11">
        <v>7</v>
      </c>
      <c r="B126" s="104" t="s">
        <v>19</v>
      </c>
      <c r="C126" s="104" t="s">
        <v>19</v>
      </c>
      <c r="D126" s="12">
        <v>2</v>
      </c>
      <c r="E126" s="104" t="s">
        <v>40</v>
      </c>
      <c r="F126" s="104" t="s">
        <v>22</v>
      </c>
      <c r="G126" s="12">
        <v>5</v>
      </c>
      <c r="H126" s="12">
        <v>1</v>
      </c>
      <c r="I126" s="104" t="s">
        <v>22</v>
      </c>
      <c r="J126" s="107" t="s">
        <v>30</v>
      </c>
      <c r="K126" s="36"/>
      <c r="L126" s="36"/>
      <c r="M126" s="51"/>
      <c r="N126" s="53" t="s">
        <v>96</v>
      </c>
      <c r="O126" s="38">
        <f t="shared" ref="O126:Q127" si="47">O127</f>
        <v>92100000</v>
      </c>
      <c r="P126" s="82">
        <f t="shared" si="47"/>
        <v>56940400</v>
      </c>
      <c r="Q126" s="82">
        <f t="shared" si="47"/>
        <v>16655500</v>
      </c>
      <c r="R126" s="82">
        <f t="shared" si="32"/>
        <v>73595900</v>
      </c>
      <c r="S126" s="82">
        <f>'SPJ FUNGSIONAL '!V132</f>
        <v>61883400</v>
      </c>
      <c r="T126" s="82">
        <f>T127</f>
        <v>13630500</v>
      </c>
      <c r="U126" s="82">
        <f t="shared" si="33"/>
        <v>75513900</v>
      </c>
      <c r="V126" s="82">
        <f t="shared" si="34"/>
        <v>16586100</v>
      </c>
      <c r="W126" s="82"/>
      <c r="X126" s="82">
        <f t="shared" si="35"/>
        <v>-1918000</v>
      </c>
      <c r="Y126" s="209">
        <f t="shared" si="36"/>
        <v>0.81991205211726381</v>
      </c>
    </row>
    <row r="127" spans="1:25" s="3" customFormat="1" ht="43.5" customHeight="1">
      <c r="A127" s="11">
        <v>7</v>
      </c>
      <c r="B127" s="104" t="s">
        <v>19</v>
      </c>
      <c r="C127" s="104" t="s">
        <v>19</v>
      </c>
      <c r="D127" s="12">
        <v>2</v>
      </c>
      <c r="E127" s="104" t="s">
        <v>40</v>
      </c>
      <c r="F127" s="104" t="s">
        <v>22</v>
      </c>
      <c r="G127" s="12">
        <v>5</v>
      </c>
      <c r="H127" s="12">
        <v>1</v>
      </c>
      <c r="I127" s="104" t="s">
        <v>22</v>
      </c>
      <c r="J127" s="107" t="s">
        <v>30</v>
      </c>
      <c r="K127" s="107" t="s">
        <v>22</v>
      </c>
      <c r="L127" s="36"/>
      <c r="M127" s="51"/>
      <c r="N127" s="53" t="s">
        <v>97</v>
      </c>
      <c r="O127" s="38">
        <f t="shared" si="47"/>
        <v>92100000</v>
      </c>
      <c r="P127" s="82">
        <f t="shared" si="47"/>
        <v>56940400</v>
      </c>
      <c r="Q127" s="82">
        <f t="shared" si="47"/>
        <v>16655500</v>
      </c>
      <c r="R127" s="82">
        <f t="shared" si="32"/>
        <v>73595900</v>
      </c>
      <c r="S127" s="82">
        <f>'SPJ FUNGSIONAL '!V133</f>
        <v>61883400</v>
      </c>
      <c r="T127" s="82">
        <f>T128</f>
        <v>13630500</v>
      </c>
      <c r="U127" s="82">
        <f t="shared" si="33"/>
        <v>75513900</v>
      </c>
      <c r="V127" s="82">
        <f t="shared" si="34"/>
        <v>16586100</v>
      </c>
      <c r="W127" s="82"/>
      <c r="X127" s="82">
        <f t="shared" si="35"/>
        <v>-1918000</v>
      </c>
      <c r="Y127" s="209">
        <f t="shared" si="36"/>
        <v>0.81991205211726381</v>
      </c>
    </row>
    <row r="128" spans="1:25" s="3" customFormat="1" ht="43.5" customHeight="1">
      <c r="A128" s="15">
        <v>7</v>
      </c>
      <c r="B128" s="105" t="s">
        <v>19</v>
      </c>
      <c r="C128" s="105" t="s">
        <v>19</v>
      </c>
      <c r="D128" s="16">
        <v>2</v>
      </c>
      <c r="E128" s="105" t="s">
        <v>40</v>
      </c>
      <c r="F128" s="105" t="s">
        <v>22</v>
      </c>
      <c r="G128" s="16">
        <v>5</v>
      </c>
      <c r="H128" s="16">
        <v>1</v>
      </c>
      <c r="I128" s="105" t="s">
        <v>22</v>
      </c>
      <c r="J128" s="106" t="s">
        <v>30</v>
      </c>
      <c r="K128" s="106" t="s">
        <v>22</v>
      </c>
      <c r="L128" s="106" t="s">
        <v>52</v>
      </c>
      <c r="M128" s="108" t="s">
        <v>12</v>
      </c>
      <c r="N128" s="39" t="s">
        <v>98</v>
      </c>
      <c r="O128" s="35">
        <f>'SPJ FUNGSIONAL '!O134</f>
        <v>92100000</v>
      </c>
      <c r="P128" s="81">
        <f>'[1]LRA SP2D'!$R$128</f>
        <v>56940400</v>
      </c>
      <c r="Q128" s="81">
        <v>16655500</v>
      </c>
      <c r="R128" s="81">
        <f t="shared" si="32"/>
        <v>73595900</v>
      </c>
      <c r="S128" s="81">
        <f>'SPJ FUNGSIONAL '!V134</f>
        <v>61883400</v>
      </c>
      <c r="T128" s="81">
        <f>'SPJ FUNGSIONAL '!W134</f>
        <v>13630500</v>
      </c>
      <c r="U128" s="81">
        <f t="shared" si="33"/>
        <v>75513900</v>
      </c>
      <c r="V128" s="81">
        <f t="shared" si="34"/>
        <v>16586100</v>
      </c>
      <c r="W128" s="81"/>
      <c r="X128" s="81">
        <f t="shared" si="35"/>
        <v>-1918000</v>
      </c>
      <c r="Y128" s="207">
        <f t="shared" si="36"/>
        <v>0.81991205211726381</v>
      </c>
    </row>
    <row r="129" spans="1:25" s="3" customFormat="1" ht="25" customHeight="1">
      <c r="A129" s="15"/>
      <c r="B129" s="16"/>
      <c r="C129" s="16"/>
      <c r="D129" s="16"/>
      <c r="E129" s="16"/>
      <c r="F129" s="16"/>
      <c r="G129" s="16"/>
      <c r="H129" s="16"/>
      <c r="I129" s="16"/>
      <c r="J129" s="36"/>
      <c r="K129" s="36"/>
      <c r="L129" s="36"/>
      <c r="M129" s="51"/>
      <c r="N129" s="39"/>
      <c r="O129" s="35"/>
      <c r="P129" s="81"/>
      <c r="Q129" s="81"/>
      <c r="R129" s="81">
        <f t="shared" si="32"/>
        <v>0</v>
      </c>
      <c r="S129" s="81"/>
      <c r="T129" s="81"/>
      <c r="U129" s="81">
        <f t="shared" si="33"/>
        <v>0</v>
      </c>
      <c r="V129" s="81">
        <f t="shared" si="34"/>
        <v>0</v>
      </c>
      <c r="W129" s="81">
        <f t="shared" si="37"/>
        <v>0</v>
      </c>
      <c r="X129" s="81">
        <f t="shared" si="35"/>
        <v>0</v>
      </c>
      <c r="Y129" s="207"/>
    </row>
    <row r="130" spans="1:25" s="3" customFormat="1" ht="45" customHeight="1">
      <c r="A130" s="13">
        <v>7</v>
      </c>
      <c r="B130" s="103" t="s">
        <v>19</v>
      </c>
      <c r="C130" s="103" t="s">
        <v>19</v>
      </c>
      <c r="D130" s="14">
        <v>2</v>
      </c>
      <c r="E130" s="103" t="s">
        <v>40</v>
      </c>
      <c r="F130" s="103" t="s">
        <v>34</v>
      </c>
      <c r="G130" s="14"/>
      <c r="H130" s="14"/>
      <c r="I130" s="14"/>
      <c r="J130" s="14"/>
      <c r="K130" s="14"/>
      <c r="L130" s="14"/>
      <c r="M130" s="30"/>
      <c r="N130" s="41" t="s">
        <v>99</v>
      </c>
      <c r="O130" s="32">
        <f t="shared" ref="O130:Q130" si="48">O131</f>
        <v>87952500</v>
      </c>
      <c r="P130" s="165">
        <f t="shared" si="48"/>
        <v>30500500</v>
      </c>
      <c r="Q130" s="165">
        <f t="shared" si="48"/>
        <v>26154000</v>
      </c>
      <c r="R130" s="165">
        <f t="shared" si="32"/>
        <v>56654500</v>
      </c>
      <c r="S130" s="165">
        <f>S131</f>
        <v>39545500</v>
      </c>
      <c r="T130" s="165">
        <f>T131</f>
        <v>18789000</v>
      </c>
      <c r="U130" s="165">
        <f t="shared" si="33"/>
        <v>58334500</v>
      </c>
      <c r="V130" s="165">
        <f t="shared" si="34"/>
        <v>29618000</v>
      </c>
      <c r="W130" s="165"/>
      <c r="X130" s="165">
        <f t="shared" si="35"/>
        <v>-1680000</v>
      </c>
      <c r="Y130" s="213">
        <f t="shared" si="36"/>
        <v>0.66325004974275892</v>
      </c>
    </row>
    <row r="131" spans="1:25" s="3" customFormat="1" ht="33.75" customHeight="1">
      <c r="A131" s="11">
        <v>7</v>
      </c>
      <c r="B131" s="104" t="s">
        <v>19</v>
      </c>
      <c r="C131" s="104" t="s">
        <v>19</v>
      </c>
      <c r="D131" s="12">
        <v>2</v>
      </c>
      <c r="E131" s="104" t="s">
        <v>40</v>
      </c>
      <c r="F131" s="104" t="s">
        <v>34</v>
      </c>
      <c r="G131" s="12">
        <v>5</v>
      </c>
      <c r="H131" s="12">
        <v>1</v>
      </c>
      <c r="I131" s="104" t="s">
        <v>22</v>
      </c>
      <c r="J131" s="50"/>
      <c r="K131" s="36"/>
      <c r="L131" s="36"/>
      <c r="M131" s="51"/>
      <c r="N131" s="53" t="s">
        <v>49</v>
      </c>
      <c r="O131" s="38">
        <f>O132+O136</f>
        <v>87952500</v>
      </c>
      <c r="P131" s="38">
        <f t="shared" ref="P131:Q131" si="49">P132+P136</f>
        <v>30500500</v>
      </c>
      <c r="Q131" s="38">
        <f t="shared" si="49"/>
        <v>26154000</v>
      </c>
      <c r="R131" s="82">
        <f t="shared" si="32"/>
        <v>56654500</v>
      </c>
      <c r="S131" s="38">
        <f t="shared" ref="S131:T131" si="50">S132+S136</f>
        <v>39545500</v>
      </c>
      <c r="T131" s="38">
        <f t="shared" si="50"/>
        <v>18789000</v>
      </c>
      <c r="U131" s="82">
        <f t="shared" si="33"/>
        <v>58334500</v>
      </c>
      <c r="V131" s="82">
        <f t="shared" si="34"/>
        <v>29618000</v>
      </c>
      <c r="W131" s="82"/>
      <c r="X131" s="82">
        <f t="shared" si="35"/>
        <v>-1680000</v>
      </c>
      <c r="Y131" s="209">
        <f t="shared" si="36"/>
        <v>0.66325004974275892</v>
      </c>
    </row>
    <row r="132" spans="1:25" s="3" customFormat="1" ht="33.75" customHeight="1">
      <c r="A132" s="11">
        <v>7</v>
      </c>
      <c r="B132" s="104" t="s">
        <v>19</v>
      </c>
      <c r="C132" s="104" t="s">
        <v>19</v>
      </c>
      <c r="D132" s="12">
        <v>2</v>
      </c>
      <c r="E132" s="104" t="s">
        <v>40</v>
      </c>
      <c r="F132" s="104" t="s">
        <v>34</v>
      </c>
      <c r="G132" s="12">
        <v>5</v>
      </c>
      <c r="H132" s="12">
        <v>1</v>
      </c>
      <c r="I132" s="104" t="s">
        <v>22</v>
      </c>
      <c r="J132" s="50"/>
      <c r="K132" s="36"/>
      <c r="L132" s="36"/>
      <c r="M132" s="51"/>
      <c r="N132" s="53" t="s">
        <v>65</v>
      </c>
      <c r="O132" s="38">
        <f>O133</f>
        <v>792500</v>
      </c>
      <c r="P132" s="38">
        <f t="shared" ref="P132:Q132" si="51">P133</f>
        <v>400000</v>
      </c>
      <c r="Q132" s="38">
        <f t="shared" si="51"/>
        <v>390000</v>
      </c>
      <c r="R132" s="82">
        <f>SUM(P132:Q132)</f>
        <v>790000</v>
      </c>
      <c r="S132" s="38">
        <f t="shared" ref="S132:T132" si="52">S133</f>
        <v>400000</v>
      </c>
      <c r="T132" s="38">
        <f t="shared" si="52"/>
        <v>390000</v>
      </c>
      <c r="U132" s="82">
        <f>SUM(S132:T132)</f>
        <v>790000</v>
      </c>
      <c r="V132" s="81">
        <f t="shared" ref="V132:V135" si="53">O132-U132</f>
        <v>2500</v>
      </c>
      <c r="W132" s="81">
        <f t="shared" ref="W132:W135" si="54">R132-U132</f>
        <v>0</v>
      </c>
      <c r="X132" s="81">
        <f t="shared" ref="X132:X135" si="55">R132-U132</f>
        <v>0</v>
      </c>
      <c r="Y132" s="207">
        <f t="shared" ref="Y132:Y135" si="56">U132/O132*100%</f>
        <v>0.99684542586750791</v>
      </c>
    </row>
    <row r="133" spans="1:25" s="3" customFormat="1" ht="33.75" customHeight="1">
      <c r="A133" s="288">
        <v>7</v>
      </c>
      <c r="B133" s="302" t="s">
        <v>19</v>
      </c>
      <c r="C133" s="302" t="s">
        <v>19</v>
      </c>
      <c r="D133" s="289">
        <v>2</v>
      </c>
      <c r="E133" s="302" t="s">
        <v>40</v>
      </c>
      <c r="F133" s="302" t="s">
        <v>34</v>
      </c>
      <c r="G133" s="289">
        <v>5</v>
      </c>
      <c r="H133" s="289">
        <v>1</v>
      </c>
      <c r="I133" s="302" t="s">
        <v>22</v>
      </c>
      <c r="J133" s="328" t="s">
        <v>19</v>
      </c>
      <c r="K133" s="328" t="s">
        <v>19</v>
      </c>
      <c r="L133" s="315"/>
      <c r="M133" s="326"/>
      <c r="N133" s="323" t="s">
        <v>131</v>
      </c>
      <c r="O133" s="38">
        <f>SUM(O134:O135)</f>
        <v>792500</v>
      </c>
      <c r="P133" s="38">
        <f t="shared" ref="P133:Q133" si="57">SUM(P134:P135)</f>
        <v>400000</v>
      </c>
      <c r="Q133" s="38">
        <f t="shared" si="57"/>
        <v>390000</v>
      </c>
      <c r="R133" s="82">
        <f>SUM(P133:Q133)</f>
        <v>790000</v>
      </c>
      <c r="S133" s="38">
        <f t="shared" ref="S133:T133" si="58">SUM(S134:S135)</f>
        <v>400000</v>
      </c>
      <c r="T133" s="38">
        <f t="shared" si="58"/>
        <v>390000</v>
      </c>
      <c r="U133" s="82">
        <f>SUM(S133:T133)</f>
        <v>790000</v>
      </c>
      <c r="V133" s="81">
        <f t="shared" si="53"/>
        <v>2500</v>
      </c>
      <c r="W133" s="81">
        <f t="shared" si="54"/>
        <v>0</v>
      </c>
      <c r="X133" s="81">
        <f t="shared" si="55"/>
        <v>0</v>
      </c>
      <c r="Y133" s="207">
        <f t="shared" si="56"/>
        <v>0.99684542586750791</v>
      </c>
    </row>
    <row r="134" spans="1:25" s="3" customFormat="1" ht="33.75" customHeight="1">
      <c r="A134" s="305">
        <v>7</v>
      </c>
      <c r="B134" s="306" t="s">
        <v>19</v>
      </c>
      <c r="C134" s="306" t="s">
        <v>19</v>
      </c>
      <c r="D134" s="307">
        <v>2</v>
      </c>
      <c r="E134" s="306" t="s">
        <v>40</v>
      </c>
      <c r="F134" s="306" t="s">
        <v>34</v>
      </c>
      <c r="G134" s="307">
        <v>5</v>
      </c>
      <c r="H134" s="307">
        <v>1</v>
      </c>
      <c r="I134" s="306" t="s">
        <v>22</v>
      </c>
      <c r="J134" s="314" t="s">
        <v>19</v>
      </c>
      <c r="K134" s="314" t="s">
        <v>19</v>
      </c>
      <c r="L134" s="314" t="s">
        <v>27</v>
      </c>
      <c r="M134" s="326">
        <v>4</v>
      </c>
      <c r="N134" s="309" t="s">
        <v>255</v>
      </c>
      <c r="O134" s="35">
        <f>'SPJ FUNGSIONAL '!O140</f>
        <v>392500</v>
      </c>
      <c r="P134" s="82"/>
      <c r="Q134" s="81">
        <v>390000</v>
      </c>
      <c r="R134" s="81">
        <f>SUM(P134:Q134)</f>
        <v>390000</v>
      </c>
      <c r="S134" s="81"/>
      <c r="T134" s="81">
        <f>'SPJ FUNGSIONAL '!W140</f>
        <v>390000</v>
      </c>
      <c r="U134" s="81">
        <f>SUM(S134:T134)</f>
        <v>390000</v>
      </c>
      <c r="V134" s="81">
        <f t="shared" si="53"/>
        <v>2500</v>
      </c>
      <c r="W134" s="81">
        <f t="shared" si="54"/>
        <v>0</v>
      </c>
      <c r="X134" s="81">
        <f t="shared" si="55"/>
        <v>0</v>
      </c>
      <c r="Y134" s="207">
        <f t="shared" si="56"/>
        <v>0.99363057324840764</v>
      </c>
    </row>
    <row r="135" spans="1:25" s="3" customFormat="1" ht="33.75" customHeight="1">
      <c r="A135" s="305">
        <v>7</v>
      </c>
      <c r="B135" s="306" t="s">
        <v>19</v>
      </c>
      <c r="C135" s="306" t="s">
        <v>19</v>
      </c>
      <c r="D135" s="307">
        <v>2</v>
      </c>
      <c r="E135" s="306" t="s">
        <v>40</v>
      </c>
      <c r="F135" s="306" t="s">
        <v>34</v>
      </c>
      <c r="G135" s="307">
        <v>5</v>
      </c>
      <c r="H135" s="307">
        <v>1</v>
      </c>
      <c r="I135" s="306" t="s">
        <v>22</v>
      </c>
      <c r="J135" s="314" t="s">
        <v>19</v>
      </c>
      <c r="K135" s="314" t="s">
        <v>19</v>
      </c>
      <c r="L135" s="314" t="s">
        <v>171</v>
      </c>
      <c r="M135" s="326">
        <v>0</v>
      </c>
      <c r="N135" s="309" t="s">
        <v>172</v>
      </c>
      <c r="O135" s="35">
        <f>'SPJ FUNGSIONAL '!O141</f>
        <v>400000</v>
      </c>
      <c r="P135" s="81">
        <f>'[1]LRA SP2D'!$R$135</f>
        <v>400000</v>
      </c>
      <c r="Q135" s="81">
        <f>T135</f>
        <v>0</v>
      </c>
      <c r="R135" s="81">
        <f>SUM(P135:Q135)</f>
        <v>400000</v>
      </c>
      <c r="S135" s="81">
        <f>'SPJ FUNGSIONAL '!V141</f>
        <v>400000</v>
      </c>
      <c r="T135" s="81">
        <f>'SPJ FUNGSIONAL '!W141</f>
        <v>0</v>
      </c>
      <c r="U135" s="81">
        <f>SUM(S135:T135)</f>
        <v>400000</v>
      </c>
      <c r="V135" s="81">
        <f t="shared" si="53"/>
        <v>0</v>
      </c>
      <c r="W135" s="81">
        <f t="shared" si="54"/>
        <v>0</v>
      </c>
      <c r="X135" s="81">
        <f t="shared" si="55"/>
        <v>0</v>
      </c>
      <c r="Y135" s="207">
        <f t="shared" si="56"/>
        <v>1</v>
      </c>
    </row>
    <row r="136" spans="1:25" s="3" customFormat="1" ht="33.75" customHeight="1">
      <c r="A136" s="11">
        <v>7</v>
      </c>
      <c r="B136" s="104" t="s">
        <v>19</v>
      </c>
      <c r="C136" s="104" t="s">
        <v>19</v>
      </c>
      <c r="D136" s="12">
        <v>2</v>
      </c>
      <c r="E136" s="104" t="s">
        <v>40</v>
      </c>
      <c r="F136" s="104" t="s">
        <v>34</v>
      </c>
      <c r="G136" s="12">
        <v>5</v>
      </c>
      <c r="H136" s="12">
        <v>1</v>
      </c>
      <c r="I136" s="104" t="s">
        <v>22</v>
      </c>
      <c r="J136" s="107" t="s">
        <v>30</v>
      </c>
      <c r="K136" s="36"/>
      <c r="L136" s="36"/>
      <c r="M136" s="51"/>
      <c r="N136" s="53" t="s">
        <v>96</v>
      </c>
      <c r="O136" s="38">
        <f>O137</f>
        <v>87160000</v>
      </c>
      <c r="P136" s="38">
        <f t="shared" ref="P136:V136" si="59">P137</f>
        <v>30100500</v>
      </c>
      <c r="Q136" s="38">
        <f t="shared" si="59"/>
        <v>25764000</v>
      </c>
      <c r="R136" s="38">
        <f t="shared" si="59"/>
        <v>55864500</v>
      </c>
      <c r="S136" s="38">
        <f t="shared" si="59"/>
        <v>39145500</v>
      </c>
      <c r="T136" s="38">
        <f t="shared" si="59"/>
        <v>18399000</v>
      </c>
      <c r="U136" s="38">
        <f t="shared" si="59"/>
        <v>57544500</v>
      </c>
      <c r="V136" s="38">
        <f t="shared" si="59"/>
        <v>29615500</v>
      </c>
      <c r="W136" s="82"/>
      <c r="X136" s="82">
        <f t="shared" si="35"/>
        <v>-1680000</v>
      </c>
      <c r="Y136" s="209">
        <f t="shared" si="36"/>
        <v>0.66021684258834323</v>
      </c>
    </row>
    <row r="137" spans="1:25" s="3" customFormat="1" ht="33.75" customHeight="1">
      <c r="A137" s="11">
        <v>7</v>
      </c>
      <c r="B137" s="104" t="s">
        <v>19</v>
      </c>
      <c r="C137" s="104" t="s">
        <v>19</v>
      </c>
      <c r="D137" s="12">
        <v>2</v>
      </c>
      <c r="E137" s="104" t="s">
        <v>40</v>
      </c>
      <c r="F137" s="104" t="s">
        <v>34</v>
      </c>
      <c r="G137" s="12">
        <v>5</v>
      </c>
      <c r="H137" s="12">
        <v>1</v>
      </c>
      <c r="I137" s="104" t="s">
        <v>22</v>
      </c>
      <c r="J137" s="107" t="s">
        <v>30</v>
      </c>
      <c r="K137" s="107" t="s">
        <v>22</v>
      </c>
      <c r="L137" s="36"/>
      <c r="M137" s="51"/>
      <c r="N137" s="53" t="s">
        <v>97</v>
      </c>
      <c r="O137" s="38">
        <f>SUM(O138:O142)</f>
        <v>87160000</v>
      </c>
      <c r="P137" s="38">
        <f t="shared" ref="P137:V137" si="60">SUM(P138:P142)</f>
        <v>30100500</v>
      </c>
      <c r="Q137" s="38">
        <f t="shared" si="60"/>
        <v>25764000</v>
      </c>
      <c r="R137" s="38">
        <f t="shared" si="60"/>
        <v>55864500</v>
      </c>
      <c r="S137" s="38">
        <f t="shared" si="60"/>
        <v>39145500</v>
      </c>
      <c r="T137" s="38">
        <f t="shared" si="60"/>
        <v>18399000</v>
      </c>
      <c r="U137" s="38">
        <f t="shared" si="60"/>
        <v>57544500</v>
      </c>
      <c r="V137" s="38">
        <f t="shared" si="60"/>
        <v>29615500</v>
      </c>
      <c r="W137" s="82"/>
      <c r="X137" s="82">
        <f t="shared" si="35"/>
        <v>-1680000</v>
      </c>
      <c r="Y137" s="209">
        <f t="shared" si="36"/>
        <v>0.66021684258834323</v>
      </c>
    </row>
    <row r="138" spans="1:25" s="3" customFormat="1" ht="65.25" customHeight="1">
      <c r="A138" s="15">
        <v>7</v>
      </c>
      <c r="B138" s="105" t="s">
        <v>19</v>
      </c>
      <c r="C138" s="105" t="s">
        <v>19</v>
      </c>
      <c r="D138" s="16">
        <v>2</v>
      </c>
      <c r="E138" s="105" t="s">
        <v>40</v>
      </c>
      <c r="F138" s="105" t="s">
        <v>34</v>
      </c>
      <c r="G138" s="16">
        <v>5</v>
      </c>
      <c r="H138" s="16">
        <v>1</v>
      </c>
      <c r="I138" s="105" t="s">
        <v>22</v>
      </c>
      <c r="J138" s="106" t="s">
        <v>30</v>
      </c>
      <c r="K138" s="106" t="s">
        <v>22</v>
      </c>
      <c r="L138" s="106" t="s">
        <v>100</v>
      </c>
      <c r="M138" s="51">
        <v>7</v>
      </c>
      <c r="N138" s="39" t="s">
        <v>175</v>
      </c>
      <c r="O138" s="35">
        <f>'SPJ FUNGSIONAL '!O144</f>
        <v>10000000</v>
      </c>
      <c r="P138" s="81">
        <f>'[1]LRA SP2D'!$R$138</f>
        <v>5720500</v>
      </c>
      <c r="Q138" s="81">
        <v>4275000</v>
      </c>
      <c r="R138" s="81">
        <f t="shared" si="32"/>
        <v>9995500</v>
      </c>
      <c r="S138" s="81">
        <f>'SPJ FUNGSIONAL '!V144</f>
        <v>5720500</v>
      </c>
      <c r="T138" s="81">
        <f>'SPJ FUNGSIONAL '!W144</f>
        <v>4275000</v>
      </c>
      <c r="U138" s="81">
        <f t="shared" si="33"/>
        <v>9995500</v>
      </c>
      <c r="V138" s="81">
        <f t="shared" si="34"/>
        <v>4500</v>
      </c>
      <c r="W138" s="81">
        <f t="shared" si="37"/>
        <v>0</v>
      </c>
      <c r="X138" s="81">
        <f t="shared" si="35"/>
        <v>0</v>
      </c>
      <c r="Y138" s="207">
        <f t="shared" si="36"/>
        <v>0.99955000000000005</v>
      </c>
    </row>
    <row r="139" spans="1:25" s="3" customFormat="1" ht="65.25" customHeight="1">
      <c r="A139" s="305">
        <v>7</v>
      </c>
      <c r="B139" s="306" t="s">
        <v>19</v>
      </c>
      <c r="C139" s="306" t="s">
        <v>19</v>
      </c>
      <c r="D139" s="307">
        <v>2</v>
      </c>
      <c r="E139" s="306" t="s">
        <v>40</v>
      </c>
      <c r="F139" s="306" t="s">
        <v>34</v>
      </c>
      <c r="G139" s="307">
        <v>5</v>
      </c>
      <c r="H139" s="307">
        <v>1</v>
      </c>
      <c r="I139" s="306" t="s">
        <v>22</v>
      </c>
      <c r="J139" s="314" t="s">
        <v>30</v>
      </c>
      <c r="K139" s="314" t="s">
        <v>22</v>
      </c>
      <c r="L139" s="314" t="s">
        <v>100</v>
      </c>
      <c r="M139" s="326">
        <v>8</v>
      </c>
      <c r="N139" s="318" t="s">
        <v>256</v>
      </c>
      <c r="O139" s="35">
        <f>'SPJ FUNGSIONAL '!O145</f>
        <v>2000000</v>
      </c>
      <c r="P139" s="81"/>
      <c r="Q139" s="81">
        <v>1000000</v>
      </c>
      <c r="R139" s="81">
        <f t="shared" si="32"/>
        <v>1000000</v>
      </c>
      <c r="S139" s="81">
        <f>'[1]LRA SP2D'!$U$139</f>
        <v>1000000</v>
      </c>
      <c r="T139" s="81">
        <f>'SPJ FUNGSIONAL '!W145</f>
        <v>0</v>
      </c>
      <c r="U139" s="81">
        <f>SUM(S139:T139)</f>
        <v>1000000</v>
      </c>
      <c r="V139" s="81">
        <f t="shared" si="34"/>
        <v>1000000</v>
      </c>
      <c r="W139" s="81"/>
      <c r="X139" s="81">
        <f t="shared" si="35"/>
        <v>0</v>
      </c>
      <c r="Y139" s="207">
        <f t="shared" si="36"/>
        <v>0.5</v>
      </c>
    </row>
    <row r="140" spans="1:25" s="3" customFormat="1" ht="60.75" customHeight="1">
      <c r="A140" s="15">
        <v>7</v>
      </c>
      <c r="B140" s="105" t="s">
        <v>19</v>
      </c>
      <c r="C140" s="105" t="s">
        <v>19</v>
      </c>
      <c r="D140" s="16">
        <v>2</v>
      </c>
      <c r="E140" s="105" t="s">
        <v>40</v>
      </c>
      <c r="F140" s="105" t="s">
        <v>34</v>
      </c>
      <c r="G140" s="16">
        <v>5</v>
      </c>
      <c r="H140" s="16">
        <v>1</v>
      </c>
      <c r="I140" s="105" t="s">
        <v>22</v>
      </c>
      <c r="J140" s="106" t="s">
        <v>30</v>
      </c>
      <c r="K140" s="106" t="s">
        <v>22</v>
      </c>
      <c r="L140" s="106" t="s">
        <v>101</v>
      </c>
      <c r="M140" s="51">
        <v>5</v>
      </c>
      <c r="N140" s="39" t="s">
        <v>102</v>
      </c>
      <c r="O140" s="35">
        <f>'SPJ FUNGSIONAL '!O146</f>
        <v>6600000</v>
      </c>
      <c r="P140" s="81"/>
      <c r="Q140" s="81">
        <v>3774000</v>
      </c>
      <c r="R140" s="81">
        <f t="shared" si="32"/>
        <v>3774000</v>
      </c>
      <c r="S140" s="81">
        <f>'SPJ FUNGSIONAL '!V146</f>
        <v>900000</v>
      </c>
      <c r="T140" s="81">
        <f>'SPJ FUNGSIONAL '!W146</f>
        <v>2874000</v>
      </c>
      <c r="U140" s="81">
        <f t="shared" si="33"/>
        <v>3774000</v>
      </c>
      <c r="V140" s="81">
        <f t="shared" si="34"/>
        <v>2826000</v>
      </c>
      <c r="W140" s="81"/>
      <c r="X140" s="81">
        <f t="shared" si="35"/>
        <v>0</v>
      </c>
      <c r="Y140" s="207">
        <f t="shared" si="36"/>
        <v>0.57181818181818178</v>
      </c>
    </row>
    <row r="141" spans="1:25" s="3" customFormat="1" ht="45" customHeight="1">
      <c r="A141" s="15">
        <v>7</v>
      </c>
      <c r="B141" s="105" t="s">
        <v>19</v>
      </c>
      <c r="C141" s="105" t="s">
        <v>19</v>
      </c>
      <c r="D141" s="16">
        <v>2</v>
      </c>
      <c r="E141" s="105" t="s">
        <v>40</v>
      </c>
      <c r="F141" s="105" t="s">
        <v>34</v>
      </c>
      <c r="G141" s="16">
        <v>5</v>
      </c>
      <c r="H141" s="16">
        <v>1</v>
      </c>
      <c r="I141" s="105" t="s">
        <v>22</v>
      </c>
      <c r="J141" s="106" t="s">
        <v>30</v>
      </c>
      <c r="K141" s="106" t="s">
        <v>22</v>
      </c>
      <c r="L141" s="106" t="s">
        <v>103</v>
      </c>
      <c r="M141" s="51">
        <v>5</v>
      </c>
      <c r="N141" s="39" t="s">
        <v>104</v>
      </c>
      <c r="O141" s="35">
        <f>'SPJ FUNGSIONAL '!O147</f>
        <v>42340000</v>
      </c>
      <c r="P141" s="81">
        <f>'[1]LRA SP2D'!$R$141</f>
        <v>15980000</v>
      </c>
      <c r="Q141" s="81">
        <f>12180000</f>
        <v>12180000</v>
      </c>
      <c r="R141" s="81">
        <f t="shared" si="32"/>
        <v>28160000</v>
      </c>
      <c r="S141" s="81">
        <f>'SPJ FUNGSIONAL '!V147</f>
        <v>21990000</v>
      </c>
      <c r="T141" s="193">
        <f>'SPJ FUNGSIONAL '!W147</f>
        <v>7200000</v>
      </c>
      <c r="U141" s="81">
        <f t="shared" si="33"/>
        <v>29190000</v>
      </c>
      <c r="V141" s="81">
        <f t="shared" si="34"/>
        <v>13150000</v>
      </c>
      <c r="W141" s="81"/>
      <c r="X141" s="81">
        <f t="shared" si="35"/>
        <v>-1030000</v>
      </c>
      <c r="Y141" s="207">
        <f t="shared" si="36"/>
        <v>0.6894189891355692</v>
      </c>
    </row>
    <row r="142" spans="1:25" s="3" customFormat="1" ht="45" customHeight="1">
      <c r="A142" s="15">
        <v>7</v>
      </c>
      <c r="B142" s="105" t="s">
        <v>19</v>
      </c>
      <c r="C142" s="105" t="s">
        <v>19</v>
      </c>
      <c r="D142" s="16">
        <v>2</v>
      </c>
      <c r="E142" s="105" t="s">
        <v>40</v>
      </c>
      <c r="F142" s="105" t="s">
        <v>34</v>
      </c>
      <c r="G142" s="16">
        <v>5</v>
      </c>
      <c r="H142" s="16">
        <v>1</v>
      </c>
      <c r="I142" s="105" t="s">
        <v>22</v>
      </c>
      <c r="J142" s="106" t="s">
        <v>30</v>
      </c>
      <c r="K142" s="106" t="s">
        <v>22</v>
      </c>
      <c r="L142" s="106" t="s">
        <v>103</v>
      </c>
      <c r="M142" s="108" t="s">
        <v>105</v>
      </c>
      <c r="N142" s="39" t="s">
        <v>106</v>
      </c>
      <c r="O142" s="35">
        <f>'SPJ FUNGSIONAL '!O148</f>
        <v>26220000</v>
      </c>
      <c r="P142" s="81">
        <f>'[1]LRA SP2D'!$R$142</f>
        <v>8400000</v>
      </c>
      <c r="Q142" s="81">
        <v>4535000</v>
      </c>
      <c r="R142" s="81">
        <f t="shared" si="32"/>
        <v>12935000</v>
      </c>
      <c r="S142" s="81">
        <f>'SPJ FUNGSIONAL '!V148</f>
        <v>9535000</v>
      </c>
      <c r="T142" s="81">
        <f>'SPJ FUNGSIONAL '!W148</f>
        <v>4050000</v>
      </c>
      <c r="U142" s="81">
        <f t="shared" si="33"/>
        <v>13585000</v>
      </c>
      <c r="V142" s="81">
        <f t="shared" si="34"/>
        <v>12635000</v>
      </c>
      <c r="W142" s="81"/>
      <c r="X142" s="81">
        <f t="shared" si="35"/>
        <v>-650000</v>
      </c>
      <c r="Y142" s="207">
        <f t="shared" si="36"/>
        <v>0.51811594202898548</v>
      </c>
    </row>
    <row r="143" spans="1:25" s="3" customFormat="1" ht="25" customHeight="1">
      <c r="A143" s="4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51"/>
      <c r="N143" s="34"/>
      <c r="O143" s="35"/>
      <c r="P143" s="81"/>
      <c r="Q143" s="81"/>
      <c r="R143" s="81"/>
      <c r="S143" s="81"/>
      <c r="T143" s="81"/>
      <c r="U143" s="81">
        <f t="shared" si="33"/>
        <v>0</v>
      </c>
      <c r="V143" s="81">
        <f t="shared" si="34"/>
        <v>0</v>
      </c>
      <c r="W143" s="81">
        <f t="shared" si="37"/>
        <v>0</v>
      </c>
      <c r="X143" s="81">
        <f t="shared" si="35"/>
        <v>0</v>
      </c>
      <c r="Y143" s="207"/>
    </row>
    <row r="144" spans="1:25" s="3" customFormat="1" ht="40.5" customHeight="1">
      <c r="A144" s="13">
        <v>7</v>
      </c>
      <c r="B144" s="103" t="s">
        <v>19</v>
      </c>
      <c r="C144" s="103" t="s">
        <v>19</v>
      </c>
      <c r="D144" s="14">
        <v>2</v>
      </c>
      <c r="E144" s="103" t="s">
        <v>40</v>
      </c>
      <c r="F144" s="103" t="s">
        <v>40</v>
      </c>
      <c r="G144" s="14"/>
      <c r="H144" s="14"/>
      <c r="I144" s="14"/>
      <c r="J144" s="14"/>
      <c r="K144" s="14"/>
      <c r="L144" s="14"/>
      <c r="M144" s="30"/>
      <c r="N144" s="41" t="s">
        <v>107</v>
      </c>
      <c r="O144" s="32">
        <f>O145</f>
        <v>89770000</v>
      </c>
      <c r="P144" s="165">
        <f t="shared" ref="P144:Q147" si="61">P145</f>
        <v>62933203</v>
      </c>
      <c r="Q144" s="165">
        <f t="shared" si="61"/>
        <v>4320500</v>
      </c>
      <c r="R144" s="165">
        <f t="shared" si="32"/>
        <v>67253703</v>
      </c>
      <c r="S144" s="165">
        <f t="shared" ref="S144:T147" si="62">S145</f>
        <v>62933203</v>
      </c>
      <c r="T144" s="165">
        <f t="shared" si="62"/>
        <v>6199500</v>
      </c>
      <c r="U144" s="165">
        <f t="shared" si="33"/>
        <v>69132703</v>
      </c>
      <c r="V144" s="165">
        <f t="shared" si="34"/>
        <v>20637297</v>
      </c>
      <c r="W144" s="165"/>
      <c r="X144" s="165">
        <f t="shared" si="35"/>
        <v>-1879000</v>
      </c>
      <c r="Y144" s="213">
        <f t="shared" si="36"/>
        <v>0.77010920129219118</v>
      </c>
    </row>
    <row r="145" spans="1:25" s="3" customFormat="1" ht="40.5" customHeight="1">
      <c r="A145" s="11">
        <v>7</v>
      </c>
      <c r="B145" s="104" t="s">
        <v>19</v>
      </c>
      <c r="C145" s="104" t="s">
        <v>19</v>
      </c>
      <c r="D145" s="12">
        <v>2</v>
      </c>
      <c r="E145" s="104" t="s">
        <v>40</v>
      </c>
      <c r="F145" s="104" t="s">
        <v>40</v>
      </c>
      <c r="G145" s="12">
        <v>5</v>
      </c>
      <c r="H145" s="12">
        <v>1</v>
      </c>
      <c r="I145" s="104" t="s">
        <v>22</v>
      </c>
      <c r="J145" s="50"/>
      <c r="K145" s="36"/>
      <c r="L145" s="36"/>
      <c r="M145" s="51"/>
      <c r="N145" s="53" t="s">
        <v>49</v>
      </c>
      <c r="O145" s="38">
        <f>O146</f>
        <v>89770000</v>
      </c>
      <c r="P145" s="82">
        <f t="shared" si="61"/>
        <v>62933203</v>
      </c>
      <c r="Q145" s="82">
        <f t="shared" si="61"/>
        <v>4320500</v>
      </c>
      <c r="R145" s="82">
        <f t="shared" ref="R145:R190" si="63">P145+Q145</f>
        <v>67253703</v>
      </c>
      <c r="S145" s="82">
        <f t="shared" si="62"/>
        <v>62933203</v>
      </c>
      <c r="T145" s="82">
        <f t="shared" si="62"/>
        <v>6199500</v>
      </c>
      <c r="U145" s="82">
        <f t="shared" ref="U145:U190" si="64">S145+T145</f>
        <v>69132703</v>
      </c>
      <c r="V145" s="82">
        <f t="shared" ref="V145:V190" si="65">O145-U145</f>
        <v>20637297</v>
      </c>
      <c r="W145" s="82"/>
      <c r="X145" s="82">
        <f t="shared" ref="X145:X190" si="66">R145-U145</f>
        <v>-1879000</v>
      </c>
      <c r="Y145" s="209">
        <f t="shared" si="36"/>
        <v>0.77010920129219118</v>
      </c>
    </row>
    <row r="146" spans="1:25" s="3" customFormat="1" ht="40.5" customHeight="1">
      <c r="A146" s="11">
        <v>7</v>
      </c>
      <c r="B146" s="104" t="s">
        <v>19</v>
      </c>
      <c r="C146" s="104" t="s">
        <v>19</v>
      </c>
      <c r="D146" s="12">
        <v>2</v>
      </c>
      <c r="E146" s="104" t="s">
        <v>40</v>
      </c>
      <c r="F146" s="104" t="s">
        <v>40</v>
      </c>
      <c r="G146" s="12">
        <v>5</v>
      </c>
      <c r="H146" s="12">
        <v>1</v>
      </c>
      <c r="I146" s="104" t="s">
        <v>22</v>
      </c>
      <c r="J146" s="107" t="s">
        <v>30</v>
      </c>
      <c r="K146" s="36"/>
      <c r="L146" s="36"/>
      <c r="M146" s="51"/>
      <c r="N146" s="53" t="s">
        <v>96</v>
      </c>
      <c r="O146" s="38">
        <f>O147</f>
        <v>89770000</v>
      </c>
      <c r="P146" s="82">
        <f t="shared" si="61"/>
        <v>62933203</v>
      </c>
      <c r="Q146" s="82">
        <f t="shared" si="61"/>
        <v>4320500</v>
      </c>
      <c r="R146" s="82">
        <f t="shared" si="63"/>
        <v>67253703</v>
      </c>
      <c r="S146" s="82">
        <f t="shared" si="62"/>
        <v>62933203</v>
      </c>
      <c r="T146" s="82">
        <f t="shared" si="62"/>
        <v>6199500</v>
      </c>
      <c r="U146" s="82">
        <f t="shared" si="64"/>
        <v>69132703</v>
      </c>
      <c r="V146" s="82">
        <f t="shared" si="65"/>
        <v>20637297</v>
      </c>
      <c r="W146" s="82"/>
      <c r="X146" s="82">
        <f t="shared" si="66"/>
        <v>-1879000</v>
      </c>
      <c r="Y146" s="209">
        <f t="shared" ref="Y146:Y191" si="67">U146/O146*100%</f>
        <v>0.77010920129219118</v>
      </c>
    </row>
    <row r="147" spans="1:25" s="3" customFormat="1" ht="40.5" customHeight="1">
      <c r="A147" s="11">
        <v>7</v>
      </c>
      <c r="B147" s="104" t="s">
        <v>19</v>
      </c>
      <c r="C147" s="104" t="s">
        <v>19</v>
      </c>
      <c r="D147" s="12">
        <v>2</v>
      </c>
      <c r="E147" s="104" t="s">
        <v>40</v>
      </c>
      <c r="F147" s="104" t="s">
        <v>40</v>
      </c>
      <c r="G147" s="12">
        <v>5</v>
      </c>
      <c r="H147" s="12">
        <v>1</v>
      </c>
      <c r="I147" s="104" t="s">
        <v>22</v>
      </c>
      <c r="J147" s="107" t="s">
        <v>30</v>
      </c>
      <c r="K147" s="107" t="s">
        <v>30</v>
      </c>
      <c r="L147" s="36"/>
      <c r="M147" s="51"/>
      <c r="N147" s="53" t="s">
        <v>108</v>
      </c>
      <c r="O147" s="38">
        <f>O148</f>
        <v>89770000</v>
      </c>
      <c r="P147" s="82">
        <f t="shared" si="61"/>
        <v>62933203</v>
      </c>
      <c r="Q147" s="82">
        <f t="shared" si="61"/>
        <v>4320500</v>
      </c>
      <c r="R147" s="82">
        <f t="shared" si="63"/>
        <v>67253703</v>
      </c>
      <c r="S147" s="82">
        <f t="shared" si="62"/>
        <v>62933203</v>
      </c>
      <c r="T147" s="82">
        <f t="shared" si="62"/>
        <v>6199500</v>
      </c>
      <c r="U147" s="82">
        <f t="shared" si="64"/>
        <v>69132703</v>
      </c>
      <c r="V147" s="82">
        <f t="shared" si="65"/>
        <v>20637297</v>
      </c>
      <c r="W147" s="82"/>
      <c r="X147" s="82">
        <f t="shared" si="66"/>
        <v>-1879000</v>
      </c>
      <c r="Y147" s="209">
        <f t="shared" si="67"/>
        <v>0.77010920129219118</v>
      </c>
    </row>
    <row r="148" spans="1:25" s="3" customFormat="1" ht="40.5" customHeight="1">
      <c r="A148" s="15">
        <v>7</v>
      </c>
      <c r="B148" s="105" t="s">
        <v>19</v>
      </c>
      <c r="C148" s="105" t="s">
        <v>19</v>
      </c>
      <c r="D148" s="16">
        <v>2</v>
      </c>
      <c r="E148" s="105" t="s">
        <v>40</v>
      </c>
      <c r="F148" s="105" t="s">
        <v>40</v>
      </c>
      <c r="G148" s="16">
        <v>5</v>
      </c>
      <c r="H148" s="16">
        <v>1</v>
      </c>
      <c r="I148" s="105" t="s">
        <v>22</v>
      </c>
      <c r="J148" s="106" t="s">
        <v>30</v>
      </c>
      <c r="K148" s="106" t="s">
        <v>30</v>
      </c>
      <c r="L148" s="106" t="s">
        <v>27</v>
      </c>
      <c r="M148" s="108" t="s">
        <v>10</v>
      </c>
      <c r="N148" s="39" t="s">
        <v>109</v>
      </c>
      <c r="O148" s="35">
        <f>'SPJ FUNGSIONAL '!O154</f>
        <v>89770000</v>
      </c>
      <c r="P148" s="81">
        <f>'[1]LRA SP2D'!$R$148</f>
        <v>62933203</v>
      </c>
      <c r="Q148" s="81">
        <f>T148-1879000</f>
        <v>4320500</v>
      </c>
      <c r="R148" s="81">
        <f t="shared" si="63"/>
        <v>67253703</v>
      </c>
      <c r="S148" s="81">
        <f>'SPJ FUNGSIONAL '!V154</f>
        <v>62933203</v>
      </c>
      <c r="T148" s="81">
        <f>'SPJ FUNGSIONAL '!W154</f>
        <v>6199500</v>
      </c>
      <c r="U148" s="81">
        <f t="shared" si="64"/>
        <v>69132703</v>
      </c>
      <c r="V148" s="81">
        <f t="shared" si="65"/>
        <v>20637297</v>
      </c>
      <c r="W148" s="81"/>
      <c r="X148" s="81">
        <f t="shared" si="66"/>
        <v>-1879000</v>
      </c>
      <c r="Y148" s="207">
        <f t="shared" si="67"/>
        <v>0.77010920129219118</v>
      </c>
    </row>
    <row r="149" spans="1:25" s="3" customFormat="1" ht="25" customHeight="1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73"/>
      <c r="N149" s="126"/>
      <c r="O149" s="74"/>
      <c r="P149" s="81"/>
      <c r="Q149" s="81"/>
      <c r="R149" s="81">
        <f t="shared" si="63"/>
        <v>0</v>
      </c>
      <c r="S149" s="81"/>
      <c r="T149" s="81"/>
      <c r="U149" s="81">
        <f t="shared" si="64"/>
        <v>0</v>
      </c>
      <c r="V149" s="81">
        <f t="shared" si="65"/>
        <v>0</v>
      </c>
      <c r="W149" s="81">
        <f t="shared" ref="W149:W184" si="68">R149-U149</f>
        <v>0</v>
      </c>
      <c r="X149" s="81">
        <f t="shared" si="66"/>
        <v>0</v>
      </c>
      <c r="Y149" s="207"/>
    </row>
    <row r="150" spans="1:25" s="3" customFormat="1" ht="42" customHeight="1">
      <c r="A150" s="56">
        <v>7</v>
      </c>
      <c r="B150" s="109" t="s">
        <v>19</v>
      </c>
      <c r="C150" s="109" t="s">
        <v>22</v>
      </c>
      <c r="D150" s="57"/>
      <c r="E150" s="57"/>
      <c r="F150" s="57"/>
      <c r="G150" s="57"/>
      <c r="H150" s="57"/>
      <c r="I150" s="57"/>
      <c r="J150" s="57"/>
      <c r="K150" s="57"/>
      <c r="L150" s="57"/>
      <c r="M150" s="75"/>
      <c r="N150" s="127" t="s">
        <v>110</v>
      </c>
      <c r="O150" s="76">
        <f>O152+O172</f>
        <v>3780676250</v>
      </c>
      <c r="P150" s="76">
        <f t="shared" ref="P150:V150" si="69">P152+P172</f>
        <v>2885849925</v>
      </c>
      <c r="Q150" s="76">
        <f t="shared" si="69"/>
        <v>503743791</v>
      </c>
      <c r="R150" s="76">
        <f t="shared" si="69"/>
        <v>3389593716</v>
      </c>
      <c r="S150" s="76">
        <f t="shared" si="69"/>
        <v>2988314106</v>
      </c>
      <c r="T150" s="76">
        <f t="shared" si="69"/>
        <v>648530889</v>
      </c>
      <c r="U150" s="76">
        <f t="shared" si="69"/>
        <v>3636844995</v>
      </c>
      <c r="V150" s="76">
        <f t="shared" si="69"/>
        <v>143831255</v>
      </c>
      <c r="W150" s="160"/>
      <c r="X150" s="160">
        <f t="shared" si="66"/>
        <v>-247251279</v>
      </c>
      <c r="Y150" s="210">
        <f t="shared" si="67"/>
        <v>0.96195620955378025</v>
      </c>
    </row>
    <row r="151" spans="1:25" s="3" customFormat="1" ht="25" customHeight="1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73"/>
      <c r="N151" s="126"/>
      <c r="O151" s="74"/>
      <c r="P151" s="81"/>
      <c r="Q151" s="81"/>
      <c r="R151" s="81">
        <f t="shared" si="63"/>
        <v>0</v>
      </c>
      <c r="S151" s="81"/>
      <c r="T151" s="81"/>
      <c r="U151" s="81">
        <f t="shared" si="64"/>
        <v>0</v>
      </c>
      <c r="V151" s="81">
        <f t="shared" si="65"/>
        <v>0</v>
      </c>
      <c r="W151" s="81">
        <f t="shared" si="68"/>
        <v>0</v>
      </c>
      <c r="X151" s="81">
        <f t="shared" si="66"/>
        <v>0</v>
      </c>
      <c r="Y151" s="207"/>
    </row>
    <row r="152" spans="1:25" s="3" customFormat="1" ht="42" customHeight="1">
      <c r="A152" s="58">
        <v>7</v>
      </c>
      <c r="B152" s="110" t="s">
        <v>19</v>
      </c>
      <c r="C152" s="110" t="s">
        <v>22</v>
      </c>
      <c r="D152" s="10">
        <v>2</v>
      </c>
      <c r="E152" s="102" t="s">
        <v>30</v>
      </c>
      <c r="F152" s="10"/>
      <c r="G152" s="10"/>
      <c r="H152" s="59"/>
      <c r="I152" s="59"/>
      <c r="J152" s="59"/>
      <c r="K152" s="59"/>
      <c r="L152" s="59"/>
      <c r="M152" s="59"/>
      <c r="N152" s="25" t="s">
        <v>182</v>
      </c>
      <c r="O152" s="120">
        <f>O154</f>
        <v>1612820050</v>
      </c>
      <c r="P152" s="148">
        <f>P154</f>
        <v>1336386750</v>
      </c>
      <c r="Q152" s="148">
        <f>Q154</f>
        <v>129226286</v>
      </c>
      <c r="R152" s="163">
        <f t="shared" si="63"/>
        <v>1465613036</v>
      </c>
      <c r="S152" s="148">
        <f>S154</f>
        <v>1339885706</v>
      </c>
      <c r="T152" s="148">
        <f>T154</f>
        <v>245887746</v>
      </c>
      <c r="U152" s="163">
        <f t="shared" si="64"/>
        <v>1585773452</v>
      </c>
      <c r="V152" s="163">
        <f t="shared" si="65"/>
        <v>27046598</v>
      </c>
      <c r="W152" s="163"/>
      <c r="X152" s="163">
        <f t="shared" si="66"/>
        <v>-120160416</v>
      </c>
      <c r="Y152" s="211">
        <f t="shared" si="67"/>
        <v>0.98323024444047558</v>
      </c>
    </row>
    <row r="153" spans="1:25" s="3" customFormat="1" ht="25" customHeight="1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73"/>
      <c r="N153" s="125"/>
      <c r="O153" s="94"/>
      <c r="P153" s="122"/>
      <c r="Q153" s="122"/>
      <c r="R153" s="82"/>
      <c r="S153" s="122"/>
      <c r="T153" s="122"/>
      <c r="U153" s="82"/>
      <c r="V153" s="82"/>
      <c r="W153" s="82"/>
      <c r="X153" s="82"/>
      <c r="Y153" s="209"/>
    </row>
    <row r="154" spans="1:25" s="3" customFormat="1" ht="78.75" customHeight="1">
      <c r="A154" s="62">
        <v>7</v>
      </c>
      <c r="B154" s="111" t="s">
        <v>19</v>
      </c>
      <c r="C154" s="111" t="s">
        <v>22</v>
      </c>
      <c r="D154" s="14">
        <v>2</v>
      </c>
      <c r="E154" s="112" t="s">
        <v>30</v>
      </c>
      <c r="F154" s="112" t="s">
        <v>19</v>
      </c>
      <c r="G154" s="63"/>
      <c r="H154" s="64"/>
      <c r="I154" s="64"/>
      <c r="J154" s="64"/>
      <c r="K154" s="64"/>
      <c r="L154" s="64"/>
      <c r="M154" s="80"/>
      <c r="N154" s="41" t="s">
        <v>257</v>
      </c>
      <c r="O154" s="32">
        <f t="shared" ref="O154:T154" si="70">O155</f>
        <v>1612820050</v>
      </c>
      <c r="P154" s="165">
        <f t="shared" si="70"/>
        <v>1336386750</v>
      </c>
      <c r="Q154" s="165">
        <f t="shared" si="70"/>
        <v>129226286</v>
      </c>
      <c r="R154" s="165">
        <f t="shared" si="63"/>
        <v>1465613036</v>
      </c>
      <c r="S154" s="165">
        <f t="shared" si="70"/>
        <v>1339885706</v>
      </c>
      <c r="T154" s="165">
        <f t="shared" si="70"/>
        <v>245887746</v>
      </c>
      <c r="U154" s="165">
        <f t="shared" si="64"/>
        <v>1585773452</v>
      </c>
      <c r="V154" s="165">
        <f t="shared" si="65"/>
        <v>27046598</v>
      </c>
      <c r="W154" s="165"/>
      <c r="X154" s="165">
        <f t="shared" si="66"/>
        <v>-120160416</v>
      </c>
      <c r="Y154" s="213">
        <f t="shared" si="67"/>
        <v>0.98323024444047558</v>
      </c>
    </row>
    <row r="155" spans="1:25" s="3" customFormat="1" ht="39.75" customHeight="1">
      <c r="A155" s="65">
        <v>7</v>
      </c>
      <c r="B155" s="113" t="s">
        <v>19</v>
      </c>
      <c r="C155" s="113" t="s">
        <v>22</v>
      </c>
      <c r="D155" s="12">
        <v>2</v>
      </c>
      <c r="E155" s="104" t="s">
        <v>30</v>
      </c>
      <c r="F155" s="104" t="s">
        <v>19</v>
      </c>
      <c r="G155" s="12">
        <v>5</v>
      </c>
      <c r="H155" s="12">
        <v>1</v>
      </c>
      <c r="I155" s="104" t="s">
        <v>22</v>
      </c>
      <c r="J155" s="50"/>
      <c r="K155" s="36"/>
      <c r="L155" s="36"/>
      <c r="M155" s="51"/>
      <c r="N155" s="53" t="s">
        <v>49</v>
      </c>
      <c r="O155" s="94">
        <f>O156+O161+O168</f>
        <v>1612820050</v>
      </c>
      <c r="P155" s="122">
        <f>P156+P161+P168</f>
        <v>1336386750</v>
      </c>
      <c r="Q155" s="122">
        <f>Q156+Q161+Q168</f>
        <v>129226286</v>
      </c>
      <c r="R155" s="82">
        <f t="shared" si="63"/>
        <v>1465613036</v>
      </c>
      <c r="S155" s="122">
        <f>S156+S161+S168</f>
        <v>1339885706</v>
      </c>
      <c r="T155" s="122">
        <f>T156+T161+T168</f>
        <v>245887746</v>
      </c>
      <c r="U155" s="82">
        <f t="shared" si="64"/>
        <v>1585773452</v>
      </c>
      <c r="V155" s="82">
        <f t="shared" si="65"/>
        <v>27046598</v>
      </c>
      <c r="W155" s="82"/>
      <c r="X155" s="82">
        <f t="shared" si="66"/>
        <v>-120160416</v>
      </c>
      <c r="Y155" s="209">
        <f t="shared" si="67"/>
        <v>0.98323024444047558</v>
      </c>
    </row>
    <row r="156" spans="1:25" s="3" customFormat="1" ht="39.75" customHeight="1">
      <c r="A156" s="65">
        <v>7</v>
      </c>
      <c r="B156" s="113" t="s">
        <v>19</v>
      </c>
      <c r="C156" s="113" t="s">
        <v>22</v>
      </c>
      <c r="D156" s="12">
        <v>2</v>
      </c>
      <c r="E156" s="104" t="s">
        <v>30</v>
      </c>
      <c r="F156" s="104" t="s">
        <v>19</v>
      </c>
      <c r="G156" s="12">
        <v>5</v>
      </c>
      <c r="H156" s="12">
        <v>1</v>
      </c>
      <c r="I156" s="104" t="s">
        <v>22</v>
      </c>
      <c r="J156" s="107" t="s">
        <v>19</v>
      </c>
      <c r="K156" s="36"/>
      <c r="L156" s="36"/>
      <c r="M156" s="51"/>
      <c r="N156" s="53" t="s">
        <v>65</v>
      </c>
      <c r="O156" s="94">
        <f>O157</f>
        <v>34381000</v>
      </c>
      <c r="P156" s="122">
        <f>P157</f>
        <v>22645100</v>
      </c>
      <c r="Q156" s="122">
        <f>Q157</f>
        <v>5347500</v>
      </c>
      <c r="R156" s="82">
        <f t="shared" si="63"/>
        <v>27992600</v>
      </c>
      <c r="S156" s="122">
        <f>S157</f>
        <v>25117600</v>
      </c>
      <c r="T156" s="122">
        <f>T157</f>
        <v>3676000</v>
      </c>
      <c r="U156" s="82">
        <f t="shared" si="64"/>
        <v>28793600</v>
      </c>
      <c r="V156" s="82">
        <f t="shared" si="65"/>
        <v>5587400</v>
      </c>
      <c r="W156" s="82"/>
      <c r="X156" s="82">
        <f t="shared" si="66"/>
        <v>-801000</v>
      </c>
      <c r="Y156" s="209">
        <f t="shared" si="67"/>
        <v>0.83748582065675814</v>
      </c>
    </row>
    <row r="157" spans="1:25" s="3" customFormat="1" ht="39.75" customHeight="1">
      <c r="A157" s="65">
        <v>7</v>
      </c>
      <c r="B157" s="113" t="s">
        <v>19</v>
      </c>
      <c r="C157" s="113" t="s">
        <v>22</v>
      </c>
      <c r="D157" s="12">
        <v>2</v>
      </c>
      <c r="E157" s="104" t="s">
        <v>30</v>
      </c>
      <c r="F157" s="104" t="s">
        <v>19</v>
      </c>
      <c r="G157" s="12">
        <v>5</v>
      </c>
      <c r="H157" s="12">
        <v>1</v>
      </c>
      <c r="I157" s="104" t="s">
        <v>22</v>
      </c>
      <c r="J157" s="107" t="s">
        <v>19</v>
      </c>
      <c r="K157" s="107" t="s">
        <v>19</v>
      </c>
      <c r="L157" s="36"/>
      <c r="M157" s="51"/>
      <c r="N157" s="53" t="s">
        <v>51</v>
      </c>
      <c r="O157" s="94">
        <f>SUM(O158:O160)</f>
        <v>34381000</v>
      </c>
      <c r="P157" s="122">
        <f>SUM(P158:P160)</f>
        <v>22645100</v>
      </c>
      <c r="Q157" s="122">
        <f>SUM(Q158:Q160)</f>
        <v>5347500</v>
      </c>
      <c r="R157" s="82">
        <f>P157+Q157</f>
        <v>27992600</v>
      </c>
      <c r="S157" s="122">
        <f>SUM(S158:S160)</f>
        <v>25117600</v>
      </c>
      <c r="T157" s="122">
        <f>SUM(T158:T160)</f>
        <v>3676000</v>
      </c>
      <c r="U157" s="82">
        <f t="shared" si="64"/>
        <v>28793600</v>
      </c>
      <c r="V157" s="82">
        <f t="shared" si="65"/>
        <v>5587400</v>
      </c>
      <c r="W157" s="82"/>
      <c r="X157" s="82">
        <f t="shared" si="66"/>
        <v>-801000</v>
      </c>
      <c r="Y157" s="209">
        <f t="shared" si="67"/>
        <v>0.83748582065675814</v>
      </c>
    </row>
    <row r="158" spans="1:25" s="3" customFormat="1" ht="39.75" customHeight="1">
      <c r="A158" s="67">
        <v>7</v>
      </c>
      <c r="B158" s="114" t="s">
        <v>19</v>
      </c>
      <c r="C158" s="114" t="s">
        <v>22</v>
      </c>
      <c r="D158" s="16">
        <v>2</v>
      </c>
      <c r="E158" s="105" t="s">
        <v>30</v>
      </c>
      <c r="F158" s="105" t="s">
        <v>19</v>
      </c>
      <c r="G158" s="16">
        <v>5</v>
      </c>
      <c r="H158" s="16">
        <v>1</v>
      </c>
      <c r="I158" s="105" t="s">
        <v>22</v>
      </c>
      <c r="J158" s="106" t="s">
        <v>19</v>
      </c>
      <c r="K158" s="106" t="s">
        <v>19</v>
      </c>
      <c r="L158" s="106" t="s">
        <v>27</v>
      </c>
      <c r="M158" s="51">
        <v>4</v>
      </c>
      <c r="N158" s="39" t="s">
        <v>94</v>
      </c>
      <c r="O158" s="74">
        <f>'SPJ FUNGSIONAL '!O164</f>
        <v>8595750</v>
      </c>
      <c r="P158" s="81">
        <f>'[1]LRA SP2D'!$R$158</f>
        <v>7748850</v>
      </c>
      <c r="Q158" s="81">
        <f t="shared" ref="Q158" si="71">T158</f>
        <v>700000</v>
      </c>
      <c r="R158" s="81">
        <f t="shared" si="63"/>
        <v>8448850</v>
      </c>
      <c r="S158" s="81">
        <f>'SPJ FUNGSIONAL '!V164</f>
        <v>7748850</v>
      </c>
      <c r="T158" s="81">
        <f>'SPJ FUNGSIONAL '!W164</f>
        <v>700000</v>
      </c>
      <c r="U158" s="81">
        <f t="shared" si="64"/>
        <v>8448850</v>
      </c>
      <c r="V158" s="81">
        <f t="shared" si="65"/>
        <v>146900</v>
      </c>
      <c r="W158" s="81"/>
      <c r="X158" s="81">
        <f t="shared" si="66"/>
        <v>0</v>
      </c>
      <c r="Y158" s="207">
        <f t="shared" si="67"/>
        <v>0.98291015909024804</v>
      </c>
    </row>
    <row r="159" spans="1:25" s="3" customFormat="1" ht="39.75" customHeight="1">
      <c r="A159" s="67">
        <v>7</v>
      </c>
      <c r="B159" s="114" t="s">
        <v>19</v>
      </c>
      <c r="C159" s="114" t="s">
        <v>22</v>
      </c>
      <c r="D159" s="16">
        <v>2</v>
      </c>
      <c r="E159" s="105" t="s">
        <v>30</v>
      </c>
      <c r="F159" s="105" t="s">
        <v>19</v>
      </c>
      <c r="G159" s="16">
        <v>5</v>
      </c>
      <c r="H159" s="16">
        <v>1</v>
      </c>
      <c r="I159" s="105" t="s">
        <v>22</v>
      </c>
      <c r="J159" s="106" t="s">
        <v>19</v>
      </c>
      <c r="K159" s="106" t="s">
        <v>19</v>
      </c>
      <c r="L159" s="106" t="s">
        <v>52</v>
      </c>
      <c r="M159" s="108" t="s">
        <v>79</v>
      </c>
      <c r="N159" s="39" t="s">
        <v>173</v>
      </c>
      <c r="O159" s="74">
        <f>'SPJ FUNGSIONAL '!O165</f>
        <v>10667500</v>
      </c>
      <c r="P159" s="81">
        <f>'[1]LRA SP2D'!$R$159</f>
        <v>5410000</v>
      </c>
      <c r="Q159" s="81">
        <v>3472500</v>
      </c>
      <c r="R159" s="81">
        <f t="shared" si="63"/>
        <v>8882500</v>
      </c>
      <c r="S159" s="81">
        <f>'SPJ FUNGSIONAL '!V165</f>
        <v>7882500</v>
      </c>
      <c r="T159" s="81">
        <f>'SPJ FUNGSIONAL '!W165</f>
        <v>1000000</v>
      </c>
      <c r="U159" s="81">
        <f t="shared" si="64"/>
        <v>8882500</v>
      </c>
      <c r="V159" s="81">
        <f t="shared" si="65"/>
        <v>1785000</v>
      </c>
      <c r="W159" s="81"/>
      <c r="X159" s="81">
        <f t="shared" si="66"/>
        <v>0</v>
      </c>
      <c r="Y159" s="207">
        <f t="shared" si="67"/>
        <v>0.83266932270916338</v>
      </c>
    </row>
    <row r="160" spans="1:25" s="3" customFormat="1" ht="39.75" customHeight="1">
      <c r="A160" s="67">
        <v>7</v>
      </c>
      <c r="B160" s="114" t="s">
        <v>19</v>
      </c>
      <c r="C160" s="114" t="s">
        <v>22</v>
      </c>
      <c r="D160" s="16">
        <v>2</v>
      </c>
      <c r="E160" s="105" t="s">
        <v>30</v>
      </c>
      <c r="F160" s="105" t="s">
        <v>19</v>
      </c>
      <c r="G160" s="16">
        <v>5</v>
      </c>
      <c r="H160" s="16">
        <v>1</v>
      </c>
      <c r="I160" s="105" t="s">
        <v>22</v>
      </c>
      <c r="J160" s="106" t="s">
        <v>19</v>
      </c>
      <c r="K160" s="106" t="s">
        <v>19</v>
      </c>
      <c r="L160" s="106" t="s">
        <v>52</v>
      </c>
      <c r="M160" s="108">
        <v>6</v>
      </c>
      <c r="N160" s="39" t="s">
        <v>176</v>
      </c>
      <c r="O160" s="74">
        <f>'SPJ FUNGSIONAL '!O166</f>
        <v>15117750</v>
      </c>
      <c r="P160" s="81">
        <f>'[1]LRA SP2D'!$R$160</f>
        <v>9486250</v>
      </c>
      <c r="Q160" s="81">
        <f>1175000</f>
        <v>1175000</v>
      </c>
      <c r="R160" s="81">
        <f t="shared" si="63"/>
        <v>10661250</v>
      </c>
      <c r="S160" s="81">
        <f>'SPJ FUNGSIONAL '!V166</f>
        <v>9486250</v>
      </c>
      <c r="T160" s="193">
        <f>'SPJ FUNGSIONAL '!W166</f>
        <v>1976000</v>
      </c>
      <c r="U160" s="81">
        <f t="shared" si="64"/>
        <v>11462250</v>
      </c>
      <c r="V160" s="81">
        <f t="shared" si="65"/>
        <v>3655500</v>
      </c>
      <c r="W160" s="81"/>
      <c r="X160" s="81">
        <f t="shared" si="66"/>
        <v>-801000</v>
      </c>
      <c r="Y160" s="207">
        <f t="shared" si="67"/>
        <v>0.75819814456516343</v>
      </c>
    </row>
    <row r="161" spans="1:25" s="3" customFormat="1" ht="39.75" customHeight="1">
      <c r="A161" s="65">
        <v>7</v>
      </c>
      <c r="B161" s="113" t="s">
        <v>19</v>
      </c>
      <c r="C161" s="113" t="s">
        <v>22</v>
      </c>
      <c r="D161" s="12">
        <v>2</v>
      </c>
      <c r="E161" s="104" t="s">
        <v>30</v>
      </c>
      <c r="F161" s="104" t="s">
        <v>19</v>
      </c>
      <c r="G161" s="12">
        <v>5</v>
      </c>
      <c r="H161" s="12">
        <v>1</v>
      </c>
      <c r="I161" s="104" t="s">
        <v>22</v>
      </c>
      <c r="J161" s="107" t="s">
        <v>22</v>
      </c>
      <c r="K161" s="36"/>
      <c r="L161" s="36"/>
      <c r="M161" s="51"/>
      <c r="N161" s="53" t="s">
        <v>75</v>
      </c>
      <c r="O161" s="94">
        <f>O162+O165</f>
        <v>1494268800</v>
      </c>
      <c r="P161" s="122">
        <f>P162+P165</f>
        <v>1239660568</v>
      </c>
      <c r="Q161" s="122">
        <f>Q162+Q165</f>
        <v>116075856</v>
      </c>
      <c r="R161" s="82">
        <f>P161+Q161</f>
        <v>1355736424</v>
      </c>
      <c r="S161" s="122">
        <f>S162+S165</f>
        <v>1239755544</v>
      </c>
      <c r="T161" s="122">
        <f>T162+T165</f>
        <v>235340296</v>
      </c>
      <c r="U161" s="82">
        <f t="shared" si="64"/>
        <v>1475095840</v>
      </c>
      <c r="V161" s="82">
        <f t="shared" si="65"/>
        <v>19172960</v>
      </c>
      <c r="W161" s="82"/>
      <c r="X161" s="82">
        <f t="shared" si="66"/>
        <v>-119359416</v>
      </c>
      <c r="Y161" s="209">
        <f t="shared" si="67"/>
        <v>0.987169001989468</v>
      </c>
    </row>
    <row r="162" spans="1:25" s="3" customFormat="1" ht="39.75" customHeight="1">
      <c r="A162" s="65">
        <v>7</v>
      </c>
      <c r="B162" s="113" t="s">
        <v>19</v>
      </c>
      <c r="C162" s="113" t="s">
        <v>22</v>
      </c>
      <c r="D162" s="12">
        <v>2</v>
      </c>
      <c r="E162" s="104" t="s">
        <v>30</v>
      </c>
      <c r="F162" s="104" t="s">
        <v>19</v>
      </c>
      <c r="G162" s="12">
        <v>5</v>
      </c>
      <c r="H162" s="12">
        <v>1</v>
      </c>
      <c r="I162" s="104" t="s">
        <v>22</v>
      </c>
      <c r="J162" s="107" t="s">
        <v>22</v>
      </c>
      <c r="K162" s="107" t="s">
        <v>19</v>
      </c>
      <c r="L162" s="36"/>
      <c r="M162" s="51"/>
      <c r="N162" s="53" t="s">
        <v>114</v>
      </c>
      <c r="O162" s="94">
        <f>SUM(O163:O164)</f>
        <v>1477680000</v>
      </c>
      <c r="P162" s="122">
        <f>SUM(P163:P164)</f>
        <v>1232846000</v>
      </c>
      <c r="Q162" s="122">
        <f>SUM(Q163:Q164)</f>
        <v>115506000</v>
      </c>
      <c r="R162" s="82">
        <f>P162+Q162</f>
        <v>1348352000</v>
      </c>
      <c r="S162" s="122">
        <f>SUM(S163:S164)</f>
        <v>1232846000</v>
      </c>
      <c r="T162" s="122">
        <f>SUM(T163:T164)</f>
        <v>234546000</v>
      </c>
      <c r="U162" s="82">
        <f t="shared" si="64"/>
        <v>1467392000</v>
      </c>
      <c r="V162" s="82">
        <f t="shared" si="65"/>
        <v>10288000</v>
      </c>
      <c r="W162" s="82"/>
      <c r="X162" s="82">
        <f t="shared" si="66"/>
        <v>-119040000</v>
      </c>
      <c r="Y162" s="209">
        <f t="shared" si="67"/>
        <v>0.99303773482756752</v>
      </c>
    </row>
    <row r="163" spans="1:25" s="3" customFormat="1" ht="39.75" customHeight="1">
      <c r="A163" s="67">
        <v>7</v>
      </c>
      <c r="B163" s="114" t="s">
        <v>19</v>
      </c>
      <c r="C163" s="114" t="s">
        <v>22</v>
      </c>
      <c r="D163" s="16">
        <v>2</v>
      </c>
      <c r="E163" s="105" t="s">
        <v>30</v>
      </c>
      <c r="F163" s="105" t="s">
        <v>19</v>
      </c>
      <c r="G163" s="16">
        <v>5</v>
      </c>
      <c r="H163" s="16">
        <v>1</v>
      </c>
      <c r="I163" s="105" t="s">
        <v>22</v>
      </c>
      <c r="J163" s="106" t="s">
        <v>22</v>
      </c>
      <c r="K163" s="106" t="s">
        <v>19</v>
      </c>
      <c r="L163" s="106" t="s">
        <v>52</v>
      </c>
      <c r="M163" s="108" t="s">
        <v>79</v>
      </c>
      <c r="N163" s="39" t="s">
        <v>177</v>
      </c>
      <c r="O163" s="74">
        <f>'SPJ FUNGSIONAL '!O169</f>
        <v>1475280000</v>
      </c>
      <c r="P163" s="81">
        <f>'[1]LRA SP2D'!$R$163</f>
        <v>1232720000</v>
      </c>
      <c r="Q163" s="81">
        <v>115120000</v>
      </c>
      <c r="R163" s="81">
        <f t="shared" si="63"/>
        <v>1347840000</v>
      </c>
      <c r="S163" s="81">
        <f>'SPJ FUNGSIONAL '!V169</f>
        <v>1232720000</v>
      </c>
      <c r="T163" s="81">
        <f>'SPJ FUNGSIONAL '!W169</f>
        <v>234160000</v>
      </c>
      <c r="U163" s="81">
        <f t="shared" si="64"/>
        <v>1466880000</v>
      </c>
      <c r="V163" s="81">
        <f t="shared" si="65"/>
        <v>8400000</v>
      </c>
      <c r="W163" s="81"/>
      <c r="X163" s="81">
        <f t="shared" si="66"/>
        <v>-119040000</v>
      </c>
      <c r="Y163" s="207">
        <f t="shared" si="67"/>
        <v>0.99430616560924023</v>
      </c>
    </row>
    <row r="164" spans="1:25" s="3" customFormat="1" ht="39.75" customHeight="1">
      <c r="A164" s="67">
        <v>7</v>
      </c>
      <c r="B164" s="114" t="s">
        <v>19</v>
      </c>
      <c r="C164" s="114" t="s">
        <v>22</v>
      </c>
      <c r="D164" s="16">
        <v>2</v>
      </c>
      <c r="E164" s="105" t="s">
        <v>30</v>
      </c>
      <c r="F164" s="105" t="s">
        <v>19</v>
      </c>
      <c r="G164" s="16">
        <v>5</v>
      </c>
      <c r="H164" s="16">
        <v>1</v>
      </c>
      <c r="I164" s="105" t="s">
        <v>22</v>
      </c>
      <c r="J164" s="106" t="s">
        <v>22</v>
      </c>
      <c r="K164" s="106" t="s">
        <v>19</v>
      </c>
      <c r="L164" s="106" t="s">
        <v>78</v>
      </c>
      <c r="M164" s="51">
        <v>7</v>
      </c>
      <c r="N164" s="34" t="s">
        <v>95</v>
      </c>
      <c r="O164" s="74">
        <f>'SPJ FUNGSIONAL '!O170</f>
        <v>2400000</v>
      </c>
      <c r="P164" s="81">
        <f>'[1]LRA SP2D'!$R$164</f>
        <v>126000</v>
      </c>
      <c r="Q164" s="81">
        <v>386000</v>
      </c>
      <c r="R164" s="81">
        <f t="shared" si="63"/>
        <v>512000</v>
      </c>
      <c r="S164" s="81">
        <f>'[1]LRA SP2D'!$U$164</f>
        <v>126000</v>
      </c>
      <c r="T164" s="81">
        <f>'SPJ FUNGSIONAL '!W170</f>
        <v>386000</v>
      </c>
      <c r="U164" s="81">
        <f t="shared" si="64"/>
        <v>512000</v>
      </c>
      <c r="V164" s="81">
        <f t="shared" si="65"/>
        <v>1888000</v>
      </c>
      <c r="W164" s="81">
        <f t="shared" si="68"/>
        <v>0</v>
      </c>
      <c r="X164" s="81">
        <f t="shared" si="66"/>
        <v>0</v>
      </c>
      <c r="Y164" s="207">
        <f t="shared" si="67"/>
        <v>0.21333333333333335</v>
      </c>
    </row>
    <row r="165" spans="1:25" s="3" customFormat="1" ht="39.75" customHeight="1">
      <c r="A165" s="65">
        <v>7</v>
      </c>
      <c r="B165" s="113" t="s">
        <v>19</v>
      </c>
      <c r="C165" s="113" t="s">
        <v>22</v>
      </c>
      <c r="D165" s="12">
        <v>2</v>
      </c>
      <c r="E165" s="104" t="s">
        <v>30</v>
      </c>
      <c r="F165" s="104" t="s">
        <v>19</v>
      </c>
      <c r="G165" s="12">
        <v>5</v>
      </c>
      <c r="H165" s="12">
        <v>1</v>
      </c>
      <c r="I165" s="104" t="s">
        <v>22</v>
      </c>
      <c r="J165" s="107" t="s">
        <v>22</v>
      </c>
      <c r="K165" s="107" t="s">
        <v>22</v>
      </c>
      <c r="L165" s="36"/>
      <c r="M165" s="51"/>
      <c r="N165" s="53" t="s">
        <v>88</v>
      </c>
      <c r="O165" s="94">
        <f>SUM(O166:O167)</f>
        <v>16588800</v>
      </c>
      <c r="P165" s="122">
        <f>SUM(P166:P167)</f>
        <v>6814568</v>
      </c>
      <c r="Q165" s="122">
        <f>SUM(Q166:Q167)</f>
        <v>569856</v>
      </c>
      <c r="R165" s="82">
        <f t="shared" si="63"/>
        <v>7384424</v>
      </c>
      <c r="S165" s="122">
        <f>SUM(S166:S167)</f>
        <v>6909544</v>
      </c>
      <c r="T165" s="122">
        <f>SUM(T166:T167)</f>
        <v>794296</v>
      </c>
      <c r="U165" s="82">
        <f t="shared" si="64"/>
        <v>7703840</v>
      </c>
      <c r="V165" s="82">
        <f t="shared" si="65"/>
        <v>8884960</v>
      </c>
      <c r="W165" s="82"/>
      <c r="X165" s="82">
        <f t="shared" si="66"/>
        <v>-319416</v>
      </c>
      <c r="Y165" s="209">
        <f t="shared" si="67"/>
        <v>0.46440007716049381</v>
      </c>
    </row>
    <row r="166" spans="1:25" s="3" customFormat="1" ht="39.75" customHeight="1">
      <c r="A166" s="67">
        <v>7</v>
      </c>
      <c r="B166" s="114" t="s">
        <v>19</v>
      </c>
      <c r="C166" s="114" t="s">
        <v>22</v>
      </c>
      <c r="D166" s="16">
        <v>2</v>
      </c>
      <c r="E166" s="105" t="s">
        <v>30</v>
      </c>
      <c r="F166" s="105" t="s">
        <v>19</v>
      </c>
      <c r="G166" s="16">
        <v>5</v>
      </c>
      <c r="H166" s="16">
        <v>1</v>
      </c>
      <c r="I166" s="105" t="s">
        <v>22</v>
      </c>
      <c r="J166" s="106" t="s">
        <v>22</v>
      </c>
      <c r="K166" s="106" t="s">
        <v>22</v>
      </c>
      <c r="L166" s="106" t="s">
        <v>27</v>
      </c>
      <c r="M166" s="51">
        <v>6</v>
      </c>
      <c r="N166" s="39" t="s">
        <v>178</v>
      </c>
      <c r="O166" s="74">
        <f>'SPJ FUNGSIONAL '!O172</f>
        <v>4147200</v>
      </c>
      <c r="P166" s="81">
        <f>'[1]LRA SP2D'!$R$166</f>
        <v>3075300</v>
      </c>
      <c r="Q166" s="81">
        <f>253260</f>
        <v>253260</v>
      </c>
      <c r="R166" s="81">
        <f t="shared" si="63"/>
        <v>3328560</v>
      </c>
      <c r="S166" s="81">
        <f>'SPJ FUNGSIONAL '!V172</f>
        <v>3117510</v>
      </c>
      <c r="T166" s="193">
        <f>'SPJ FUNGSIONAL '!W172</f>
        <v>440010</v>
      </c>
      <c r="U166" s="81">
        <f t="shared" si="64"/>
        <v>3557520</v>
      </c>
      <c r="V166" s="81">
        <f t="shared" si="65"/>
        <v>589680</v>
      </c>
      <c r="W166" s="81"/>
      <c r="X166" s="81">
        <f t="shared" si="66"/>
        <v>-228960</v>
      </c>
      <c r="Y166" s="207">
        <f t="shared" si="67"/>
        <v>0.85781249999999998</v>
      </c>
    </row>
    <row r="167" spans="1:25" s="3" customFormat="1" ht="39.75" customHeight="1">
      <c r="A167" s="67">
        <v>7</v>
      </c>
      <c r="B167" s="114" t="s">
        <v>19</v>
      </c>
      <c r="C167" s="114" t="s">
        <v>22</v>
      </c>
      <c r="D167" s="16">
        <v>2</v>
      </c>
      <c r="E167" s="105" t="s">
        <v>30</v>
      </c>
      <c r="F167" s="105" t="s">
        <v>19</v>
      </c>
      <c r="G167" s="16">
        <v>5</v>
      </c>
      <c r="H167" s="16">
        <v>1</v>
      </c>
      <c r="I167" s="105" t="s">
        <v>22</v>
      </c>
      <c r="J167" s="106" t="s">
        <v>22</v>
      </c>
      <c r="K167" s="106" t="s">
        <v>22</v>
      </c>
      <c r="L167" s="106" t="s">
        <v>27</v>
      </c>
      <c r="M167" s="51">
        <v>7</v>
      </c>
      <c r="N167" s="34" t="s">
        <v>179</v>
      </c>
      <c r="O167" s="74">
        <f>'SPJ FUNGSIONAL '!O173</f>
        <v>12441600</v>
      </c>
      <c r="P167" s="81">
        <f>'[1]LRA SP2D'!$R$167</f>
        <v>3739268</v>
      </c>
      <c r="Q167" s="81">
        <v>316596</v>
      </c>
      <c r="R167" s="81">
        <f t="shared" si="63"/>
        <v>4055864</v>
      </c>
      <c r="S167" s="81">
        <f>'SPJ FUNGSIONAL '!V173</f>
        <v>3792034</v>
      </c>
      <c r="T167" s="81">
        <f>'SPJ FUNGSIONAL '!W173</f>
        <v>354286</v>
      </c>
      <c r="U167" s="81">
        <f t="shared" si="64"/>
        <v>4146320</v>
      </c>
      <c r="V167" s="81">
        <f t="shared" si="65"/>
        <v>8295280</v>
      </c>
      <c r="W167" s="81"/>
      <c r="X167" s="81">
        <f t="shared" si="66"/>
        <v>-90456</v>
      </c>
      <c r="Y167" s="207">
        <f t="shared" si="67"/>
        <v>0.33326260288065845</v>
      </c>
    </row>
    <row r="168" spans="1:25" s="3" customFormat="1" ht="39.75" customHeight="1">
      <c r="A168" s="65">
        <v>7</v>
      </c>
      <c r="B168" s="113" t="s">
        <v>19</v>
      </c>
      <c r="C168" s="113" t="s">
        <v>22</v>
      </c>
      <c r="D168" s="12">
        <v>2</v>
      </c>
      <c r="E168" s="104" t="s">
        <v>30</v>
      </c>
      <c r="F168" s="104" t="s">
        <v>10</v>
      </c>
      <c r="G168" s="12">
        <v>5</v>
      </c>
      <c r="H168" s="12">
        <v>1</v>
      </c>
      <c r="I168" s="104" t="s">
        <v>22</v>
      </c>
      <c r="J168" s="107" t="s">
        <v>30</v>
      </c>
      <c r="K168" s="50"/>
      <c r="L168" s="36"/>
      <c r="M168" s="51"/>
      <c r="N168" s="53" t="s">
        <v>180</v>
      </c>
      <c r="O168" s="94">
        <f t="shared" ref="O168:Q169" si="72">O169</f>
        <v>84170250</v>
      </c>
      <c r="P168" s="122">
        <f t="shared" si="72"/>
        <v>74081082</v>
      </c>
      <c r="Q168" s="122">
        <f t="shared" si="72"/>
        <v>7802930</v>
      </c>
      <c r="R168" s="82">
        <f t="shared" si="63"/>
        <v>81884012</v>
      </c>
      <c r="S168" s="122">
        <f>S169</f>
        <v>75012562</v>
      </c>
      <c r="T168" s="122">
        <f>T169</f>
        <v>6871450</v>
      </c>
      <c r="U168" s="82">
        <f t="shared" si="64"/>
        <v>81884012</v>
      </c>
      <c r="V168" s="82">
        <f t="shared" si="65"/>
        <v>2286238</v>
      </c>
      <c r="W168" s="82"/>
      <c r="X168" s="82">
        <f t="shared" si="66"/>
        <v>0</v>
      </c>
      <c r="Y168" s="209">
        <f t="shared" si="67"/>
        <v>0.97283793264247165</v>
      </c>
    </row>
    <row r="169" spans="1:25" s="3" customFormat="1" ht="39.75" customHeight="1">
      <c r="A169" s="65">
        <v>7</v>
      </c>
      <c r="B169" s="113" t="s">
        <v>19</v>
      </c>
      <c r="C169" s="113" t="s">
        <v>22</v>
      </c>
      <c r="D169" s="12">
        <v>2</v>
      </c>
      <c r="E169" s="104" t="s">
        <v>30</v>
      </c>
      <c r="F169" s="104" t="s">
        <v>19</v>
      </c>
      <c r="G169" s="12">
        <v>5</v>
      </c>
      <c r="H169" s="12">
        <v>1</v>
      </c>
      <c r="I169" s="104" t="s">
        <v>22</v>
      </c>
      <c r="J169" s="107" t="s">
        <v>30</v>
      </c>
      <c r="K169" s="107" t="s">
        <v>22</v>
      </c>
      <c r="L169" s="36"/>
      <c r="M169" s="51"/>
      <c r="N169" s="37" t="s">
        <v>97</v>
      </c>
      <c r="O169" s="94">
        <f t="shared" si="72"/>
        <v>84170250</v>
      </c>
      <c r="P169" s="122">
        <f t="shared" si="72"/>
        <v>74081082</v>
      </c>
      <c r="Q169" s="122">
        <f t="shared" si="72"/>
        <v>7802930</v>
      </c>
      <c r="R169" s="82">
        <f t="shared" si="63"/>
        <v>81884012</v>
      </c>
      <c r="S169" s="122">
        <f>S170</f>
        <v>75012562</v>
      </c>
      <c r="T169" s="122">
        <f>T170</f>
        <v>6871450</v>
      </c>
      <c r="U169" s="82">
        <f t="shared" si="64"/>
        <v>81884012</v>
      </c>
      <c r="V169" s="82">
        <f t="shared" si="65"/>
        <v>2286238</v>
      </c>
      <c r="W169" s="82"/>
      <c r="X169" s="82">
        <f t="shared" si="66"/>
        <v>0</v>
      </c>
      <c r="Y169" s="209">
        <f t="shared" si="67"/>
        <v>0.97283793264247165</v>
      </c>
    </row>
    <row r="170" spans="1:25" s="3" customFormat="1" ht="39.75" customHeight="1">
      <c r="A170" s="67">
        <v>7</v>
      </c>
      <c r="B170" s="114" t="s">
        <v>19</v>
      </c>
      <c r="C170" s="114" t="s">
        <v>22</v>
      </c>
      <c r="D170" s="16">
        <v>2</v>
      </c>
      <c r="E170" s="105" t="s">
        <v>30</v>
      </c>
      <c r="F170" s="105" t="s">
        <v>19</v>
      </c>
      <c r="G170" s="16">
        <v>5</v>
      </c>
      <c r="H170" s="16">
        <v>1</v>
      </c>
      <c r="I170" s="105" t="s">
        <v>22</v>
      </c>
      <c r="J170" s="106" t="s">
        <v>30</v>
      </c>
      <c r="K170" s="106" t="s">
        <v>22</v>
      </c>
      <c r="L170" s="106" t="s">
        <v>52</v>
      </c>
      <c r="M170" s="51">
        <v>9</v>
      </c>
      <c r="N170" s="39" t="s">
        <v>181</v>
      </c>
      <c r="O170" s="74">
        <f>'SPJ FUNGSIONAL '!O176</f>
        <v>84170250</v>
      </c>
      <c r="P170" s="81">
        <f>'[1]LRA SP2D'!$R$170</f>
        <v>74081082</v>
      </c>
      <c r="Q170" s="81">
        <v>7802930</v>
      </c>
      <c r="R170" s="81">
        <f t="shared" si="63"/>
        <v>81884012</v>
      </c>
      <c r="S170" s="81">
        <f>'SPJ FUNGSIONAL '!V176</f>
        <v>75012562</v>
      </c>
      <c r="T170" s="81">
        <f>'SPJ FUNGSIONAL '!W176</f>
        <v>6871450</v>
      </c>
      <c r="U170" s="81">
        <f t="shared" si="64"/>
        <v>81884012</v>
      </c>
      <c r="V170" s="81">
        <f t="shared" si="65"/>
        <v>2286238</v>
      </c>
      <c r="W170" s="81"/>
      <c r="X170" s="81">
        <f t="shared" si="66"/>
        <v>0</v>
      </c>
      <c r="Y170" s="207">
        <f t="shared" si="67"/>
        <v>0.97283793264247165</v>
      </c>
    </row>
    <row r="171" spans="1:25" s="3" customFormat="1" ht="25" customHeight="1">
      <c r="A171" s="54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73"/>
      <c r="N171" s="126"/>
      <c r="O171" s="74"/>
      <c r="P171" s="81"/>
      <c r="Q171" s="81"/>
      <c r="R171" s="81">
        <f t="shared" si="63"/>
        <v>0</v>
      </c>
      <c r="S171" s="81"/>
      <c r="T171" s="81"/>
      <c r="U171" s="81">
        <f t="shared" si="64"/>
        <v>0</v>
      </c>
      <c r="V171" s="81">
        <f t="shared" si="65"/>
        <v>0</v>
      </c>
      <c r="W171" s="81">
        <f t="shared" si="68"/>
        <v>0</v>
      </c>
      <c r="X171" s="81">
        <f t="shared" si="66"/>
        <v>0</v>
      </c>
      <c r="Y171" s="207"/>
    </row>
    <row r="172" spans="1:25" s="3" customFormat="1" ht="48.75" customHeight="1">
      <c r="A172" s="58">
        <v>7</v>
      </c>
      <c r="B172" s="110" t="s">
        <v>19</v>
      </c>
      <c r="C172" s="110" t="s">
        <v>22</v>
      </c>
      <c r="D172" s="110" t="s">
        <v>64</v>
      </c>
      <c r="E172" s="59"/>
      <c r="F172" s="59"/>
      <c r="G172" s="59"/>
      <c r="H172" s="59"/>
      <c r="I172" s="59"/>
      <c r="J172" s="59"/>
      <c r="K172" s="59"/>
      <c r="L172" s="59"/>
      <c r="M172" s="77"/>
      <c r="N172" s="25" t="s">
        <v>111</v>
      </c>
      <c r="O172" s="78">
        <f>O174</f>
        <v>2167856200</v>
      </c>
      <c r="P172" s="92">
        <f>P174</f>
        <v>1549463175</v>
      </c>
      <c r="Q172" s="92">
        <f>Q174</f>
        <v>374517505</v>
      </c>
      <c r="R172" s="163">
        <f t="shared" si="63"/>
        <v>1923980680</v>
      </c>
      <c r="S172" s="92">
        <f>S174</f>
        <v>1648428400</v>
      </c>
      <c r="T172" s="92">
        <f>T174</f>
        <v>402643143</v>
      </c>
      <c r="U172" s="163">
        <f t="shared" si="64"/>
        <v>2051071543</v>
      </c>
      <c r="V172" s="163">
        <f t="shared" si="65"/>
        <v>116784657</v>
      </c>
      <c r="W172" s="163"/>
      <c r="X172" s="163">
        <f t="shared" si="66"/>
        <v>-127090863</v>
      </c>
      <c r="Y172" s="211">
        <f t="shared" si="67"/>
        <v>0.94612896510386624</v>
      </c>
    </row>
    <row r="173" spans="1:25" s="3" customFormat="1" ht="25" customHeight="1">
      <c r="A173" s="60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79"/>
      <c r="N173" s="125"/>
      <c r="O173" s="23"/>
      <c r="P173" s="121"/>
      <c r="Q173" s="121"/>
      <c r="R173" s="82"/>
      <c r="S173" s="121"/>
      <c r="T173" s="121"/>
      <c r="U173" s="82"/>
      <c r="V173" s="82"/>
      <c r="W173" s="82"/>
      <c r="X173" s="82"/>
      <c r="Y173" s="209"/>
    </row>
    <row r="174" spans="1:25" s="3" customFormat="1" ht="78" customHeight="1">
      <c r="A174" s="62">
        <v>7</v>
      </c>
      <c r="B174" s="111" t="s">
        <v>19</v>
      </c>
      <c r="C174" s="111" t="s">
        <v>22</v>
      </c>
      <c r="D174" s="14">
        <v>2</v>
      </c>
      <c r="E174" s="112" t="s">
        <v>54</v>
      </c>
      <c r="F174" s="112" t="s">
        <v>30</v>
      </c>
      <c r="G174" s="64"/>
      <c r="H174" s="64"/>
      <c r="I174" s="64"/>
      <c r="J174" s="64"/>
      <c r="K174" s="64"/>
      <c r="L174" s="64"/>
      <c r="M174" s="80"/>
      <c r="N174" s="321" t="s">
        <v>265</v>
      </c>
      <c r="O174" s="32">
        <f>O175</f>
        <v>2167856200</v>
      </c>
      <c r="P174" s="165">
        <f>P175</f>
        <v>1549463175</v>
      </c>
      <c r="Q174" s="165">
        <f>Q175</f>
        <v>374517505</v>
      </c>
      <c r="R174" s="165">
        <f t="shared" si="63"/>
        <v>1923980680</v>
      </c>
      <c r="S174" s="165">
        <f>S175</f>
        <v>1648428400</v>
      </c>
      <c r="T174" s="165">
        <f>T175</f>
        <v>402643143</v>
      </c>
      <c r="U174" s="165">
        <f t="shared" si="64"/>
        <v>2051071543</v>
      </c>
      <c r="V174" s="165">
        <f t="shared" si="65"/>
        <v>116784657</v>
      </c>
      <c r="W174" s="165"/>
      <c r="X174" s="165">
        <f t="shared" si="66"/>
        <v>-127090863</v>
      </c>
      <c r="Y174" s="213">
        <f t="shared" si="67"/>
        <v>0.94612896510386624</v>
      </c>
    </row>
    <row r="175" spans="1:25" s="3" customFormat="1" ht="39.75" customHeight="1">
      <c r="A175" s="65">
        <v>7</v>
      </c>
      <c r="B175" s="113" t="s">
        <v>19</v>
      </c>
      <c r="C175" s="113" t="s">
        <v>22</v>
      </c>
      <c r="D175" s="12">
        <v>2</v>
      </c>
      <c r="E175" s="104" t="s">
        <v>54</v>
      </c>
      <c r="F175" s="104" t="s">
        <v>30</v>
      </c>
      <c r="G175" s="12">
        <v>5</v>
      </c>
      <c r="H175" s="12">
        <v>1</v>
      </c>
      <c r="I175" s="104" t="s">
        <v>22</v>
      </c>
      <c r="J175" s="50"/>
      <c r="K175" s="36"/>
      <c r="L175" s="36"/>
      <c r="M175" s="51"/>
      <c r="N175" s="53" t="s">
        <v>49</v>
      </c>
      <c r="O175" s="38">
        <f>O176+O190+O199+O203</f>
        <v>2167856200</v>
      </c>
      <c r="P175" s="82">
        <f>P176+P190+P199+P203</f>
        <v>1549463175</v>
      </c>
      <c r="Q175" s="82">
        <f>Q176+Q190+Q199+Q203</f>
        <v>374517505</v>
      </c>
      <c r="R175" s="82">
        <f t="shared" si="63"/>
        <v>1923980680</v>
      </c>
      <c r="S175" s="82">
        <f>S176+S190+S199+S203</f>
        <v>1648428400</v>
      </c>
      <c r="T175" s="82">
        <f>T176+T190+T199+T203</f>
        <v>402643143</v>
      </c>
      <c r="U175" s="82">
        <f t="shared" si="64"/>
        <v>2051071543</v>
      </c>
      <c r="V175" s="82">
        <f t="shared" si="65"/>
        <v>116784657</v>
      </c>
      <c r="W175" s="82"/>
      <c r="X175" s="82">
        <f t="shared" si="66"/>
        <v>-127090863</v>
      </c>
      <c r="Y175" s="209">
        <f t="shared" si="67"/>
        <v>0.94612896510386624</v>
      </c>
    </row>
    <row r="176" spans="1:25" s="3" customFormat="1" ht="39.75" customHeight="1">
      <c r="A176" s="65">
        <v>7</v>
      </c>
      <c r="B176" s="113" t="s">
        <v>19</v>
      </c>
      <c r="C176" s="113" t="s">
        <v>22</v>
      </c>
      <c r="D176" s="12">
        <v>2</v>
      </c>
      <c r="E176" s="104" t="s">
        <v>54</v>
      </c>
      <c r="F176" s="104" t="s">
        <v>30</v>
      </c>
      <c r="G176" s="12">
        <v>5</v>
      </c>
      <c r="H176" s="12">
        <v>1</v>
      </c>
      <c r="I176" s="104" t="s">
        <v>22</v>
      </c>
      <c r="J176" s="107" t="s">
        <v>19</v>
      </c>
      <c r="K176" s="36"/>
      <c r="L176" s="36"/>
      <c r="M176" s="51"/>
      <c r="N176" s="53" t="s">
        <v>65</v>
      </c>
      <c r="O176" s="38">
        <f>O177</f>
        <v>512753450</v>
      </c>
      <c r="P176" s="82">
        <f>P177</f>
        <v>285015925</v>
      </c>
      <c r="Q176" s="82">
        <f>Q177</f>
        <v>144267505</v>
      </c>
      <c r="R176" s="82">
        <f t="shared" si="63"/>
        <v>429283430</v>
      </c>
      <c r="S176" s="82">
        <f>S177</f>
        <v>358581150</v>
      </c>
      <c r="T176" s="82">
        <f>T177</f>
        <v>85768143</v>
      </c>
      <c r="U176" s="82">
        <f t="shared" si="64"/>
        <v>444349293</v>
      </c>
      <c r="V176" s="82">
        <f t="shared" si="65"/>
        <v>68404157</v>
      </c>
      <c r="W176" s="82"/>
      <c r="X176" s="82">
        <f t="shared" si="66"/>
        <v>-15065863</v>
      </c>
      <c r="Y176" s="209">
        <f t="shared" si="67"/>
        <v>0.86659444807246055</v>
      </c>
    </row>
    <row r="177" spans="1:25" s="3" customFormat="1" ht="39.75" customHeight="1">
      <c r="A177" s="65">
        <v>7</v>
      </c>
      <c r="B177" s="113" t="s">
        <v>19</v>
      </c>
      <c r="C177" s="113" t="s">
        <v>22</v>
      </c>
      <c r="D177" s="12">
        <v>2</v>
      </c>
      <c r="E177" s="104" t="s">
        <v>54</v>
      </c>
      <c r="F177" s="104" t="s">
        <v>30</v>
      </c>
      <c r="G177" s="12">
        <v>5</v>
      </c>
      <c r="H177" s="12">
        <v>1</v>
      </c>
      <c r="I177" s="104" t="s">
        <v>22</v>
      </c>
      <c r="J177" s="107" t="s">
        <v>19</v>
      </c>
      <c r="K177" s="107" t="s">
        <v>19</v>
      </c>
      <c r="L177" s="36"/>
      <c r="M177" s="51"/>
      <c r="N177" s="53" t="s">
        <v>51</v>
      </c>
      <c r="O177" s="38">
        <f>SUM(O178:O189)</f>
        <v>512753450</v>
      </c>
      <c r="P177" s="38">
        <f t="shared" ref="P177:Q177" si="73">SUM(P178:P189)</f>
        <v>285015925</v>
      </c>
      <c r="Q177" s="38">
        <f t="shared" si="73"/>
        <v>144267505</v>
      </c>
      <c r="R177" s="82">
        <f t="shared" si="63"/>
        <v>429283430</v>
      </c>
      <c r="S177" s="38">
        <f>SUM(S178:S189)</f>
        <v>358581150</v>
      </c>
      <c r="T177" s="38">
        <f t="shared" ref="T177" si="74">SUM(T178:T189)</f>
        <v>85768143</v>
      </c>
      <c r="U177" s="82">
        <f>S177+T177</f>
        <v>444349293</v>
      </c>
      <c r="V177" s="82">
        <f t="shared" si="65"/>
        <v>68404157</v>
      </c>
      <c r="W177" s="82"/>
      <c r="X177" s="82">
        <f t="shared" si="66"/>
        <v>-15065863</v>
      </c>
      <c r="Y177" s="209">
        <f t="shared" si="67"/>
        <v>0.86659444807246055</v>
      </c>
    </row>
    <row r="178" spans="1:25" s="3" customFormat="1" ht="39.75" customHeight="1">
      <c r="A178" s="384">
        <v>7</v>
      </c>
      <c r="B178" s="385" t="s">
        <v>19</v>
      </c>
      <c r="C178" s="385" t="s">
        <v>22</v>
      </c>
      <c r="D178" s="307">
        <v>2</v>
      </c>
      <c r="E178" s="306" t="s">
        <v>54</v>
      </c>
      <c r="F178" s="306" t="s">
        <v>30</v>
      </c>
      <c r="G178" s="307">
        <v>5</v>
      </c>
      <c r="H178" s="307">
        <v>1</v>
      </c>
      <c r="I178" s="306" t="s">
        <v>22</v>
      </c>
      <c r="J178" s="314" t="s">
        <v>19</v>
      </c>
      <c r="K178" s="314" t="s">
        <v>19</v>
      </c>
      <c r="L178" s="314" t="s">
        <v>171</v>
      </c>
      <c r="M178" s="326">
        <v>2</v>
      </c>
      <c r="N178" s="309" t="s">
        <v>258</v>
      </c>
      <c r="O178" s="35">
        <f>'SPJ FUNGSIONAL '!O184</f>
        <v>8000000</v>
      </c>
      <c r="P178" s="81">
        <f>'[1]LRA SP2D'!$R$178</f>
        <v>1918000</v>
      </c>
      <c r="Q178" s="81">
        <v>786000</v>
      </c>
      <c r="R178" s="81">
        <f>SUM(P178:Q178)</f>
        <v>2704000</v>
      </c>
      <c r="S178" s="81">
        <f>'SPJ FUNGSIONAL '!V184</f>
        <v>2704000</v>
      </c>
      <c r="T178" s="81">
        <f>'SPJ FUNGSIONAL '!W184</f>
        <v>0</v>
      </c>
      <c r="U178" s="81">
        <f>SUM(S178:T178)</f>
        <v>2704000</v>
      </c>
      <c r="V178" s="81">
        <f t="shared" ref="V178" si="75">O178-U178</f>
        <v>5296000</v>
      </c>
      <c r="W178" s="81"/>
      <c r="X178" s="81">
        <f t="shared" ref="X178" si="76">R178-U178</f>
        <v>0</v>
      </c>
      <c r="Y178" s="207">
        <f t="shared" ref="Y178" si="77">U178/O178*100%</f>
        <v>0.33800000000000002</v>
      </c>
    </row>
    <row r="179" spans="1:25" s="3" customFormat="1" ht="39.75" customHeight="1">
      <c r="A179" s="67">
        <v>7</v>
      </c>
      <c r="B179" s="114" t="s">
        <v>19</v>
      </c>
      <c r="C179" s="114" t="s">
        <v>22</v>
      </c>
      <c r="D179" s="16">
        <v>2</v>
      </c>
      <c r="E179" s="105" t="s">
        <v>54</v>
      </c>
      <c r="F179" s="105" t="s">
        <v>30</v>
      </c>
      <c r="G179" s="16">
        <v>5</v>
      </c>
      <c r="H179" s="16">
        <v>1</v>
      </c>
      <c r="I179" s="105" t="s">
        <v>22</v>
      </c>
      <c r="J179" s="106" t="s">
        <v>19</v>
      </c>
      <c r="K179" s="106" t="s">
        <v>19</v>
      </c>
      <c r="L179" s="106" t="s">
        <v>56</v>
      </c>
      <c r="M179" s="51">
        <v>4</v>
      </c>
      <c r="N179" s="34" t="s">
        <v>57</v>
      </c>
      <c r="O179" s="35">
        <f>'SPJ FUNGSIONAL '!O185</f>
        <v>7581250</v>
      </c>
      <c r="P179" s="81">
        <f>'[1]LRA SP2D'!$R$179</f>
        <v>2456600</v>
      </c>
      <c r="Q179" s="81">
        <v>3341330</v>
      </c>
      <c r="R179" s="81">
        <f t="shared" si="63"/>
        <v>5797930</v>
      </c>
      <c r="S179" s="81">
        <f>'SPJ FUNGSIONAL '!V185</f>
        <v>3686800</v>
      </c>
      <c r="T179" s="81">
        <f>'SPJ FUNGSIONAL '!W185</f>
        <v>2627830</v>
      </c>
      <c r="U179" s="81">
        <f t="shared" si="64"/>
        <v>6314630</v>
      </c>
      <c r="V179" s="81">
        <f t="shared" si="65"/>
        <v>1266620</v>
      </c>
      <c r="W179" s="81"/>
      <c r="X179" s="81">
        <f t="shared" si="66"/>
        <v>-516700</v>
      </c>
      <c r="Y179" s="207">
        <f t="shared" si="67"/>
        <v>0.83292728771640556</v>
      </c>
    </row>
    <row r="180" spans="1:25" s="3" customFormat="1" ht="39.75" customHeight="1">
      <c r="A180" s="67">
        <v>7</v>
      </c>
      <c r="B180" s="114" t="s">
        <v>19</v>
      </c>
      <c r="C180" s="114" t="s">
        <v>22</v>
      </c>
      <c r="D180" s="16">
        <v>2</v>
      </c>
      <c r="E180" s="105" t="s">
        <v>54</v>
      </c>
      <c r="F180" s="105" t="s">
        <v>30</v>
      </c>
      <c r="G180" s="16">
        <v>5</v>
      </c>
      <c r="H180" s="16">
        <v>1</v>
      </c>
      <c r="I180" s="105" t="s">
        <v>22</v>
      </c>
      <c r="J180" s="106" t="s">
        <v>19</v>
      </c>
      <c r="K180" s="106" t="s">
        <v>19</v>
      </c>
      <c r="L180" s="106" t="s">
        <v>56</v>
      </c>
      <c r="M180" s="51">
        <v>5</v>
      </c>
      <c r="N180" s="39" t="s">
        <v>58</v>
      </c>
      <c r="O180" s="35">
        <f>'SPJ FUNGSIONAL '!O186</f>
        <v>6881000</v>
      </c>
      <c r="P180" s="81">
        <f>'[1]LRA SP2D'!$R$180</f>
        <v>1402800</v>
      </c>
      <c r="Q180" s="81">
        <v>1872400</v>
      </c>
      <c r="R180" s="81">
        <f t="shared" si="63"/>
        <v>3275200</v>
      </c>
      <c r="S180" s="81">
        <f>'SPJ FUNGSIONAL '!V186</f>
        <v>1513800</v>
      </c>
      <c r="T180" s="81">
        <f>'SPJ FUNGSIONAL '!W186</f>
        <v>2978400</v>
      </c>
      <c r="U180" s="81">
        <f t="shared" si="64"/>
        <v>4492200</v>
      </c>
      <c r="V180" s="81">
        <f t="shared" si="65"/>
        <v>2388800</v>
      </c>
      <c r="W180" s="81"/>
      <c r="X180" s="81">
        <f t="shared" si="66"/>
        <v>-1217000</v>
      </c>
      <c r="Y180" s="207">
        <f t="shared" si="67"/>
        <v>0.65284115680860344</v>
      </c>
    </row>
    <row r="181" spans="1:25" s="3" customFormat="1" ht="39.75" customHeight="1">
      <c r="A181" s="67">
        <v>7</v>
      </c>
      <c r="B181" s="114" t="s">
        <v>19</v>
      </c>
      <c r="C181" s="114" t="s">
        <v>22</v>
      </c>
      <c r="D181" s="16">
        <v>2</v>
      </c>
      <c r="E181" s="105" t="s">
        <v>54</v>
      </c>
      <c r="F181" s="105" t="s">
        <v>30</v>
      </c>
      <c r="G181" s="16">
        <v>5</v>
      </c>
      <c r="H181" s="16">
        <v>1</v>
      </c>
      <c r="I181" s="105" t="s">
        <v>22</v>
      </c>
      <c r="J181" s="106" t="s">
        <v>19</v>
      </c>
      <c r="K181" s="106" t="s">
        <v>19</v>
      </c>
      <c r="L181" s="106" t="s">
        <v>56</v>
      </c>
      <c r="M181" s="51">
        <v>6</v>
      </c>
      <c r="N181" s="34" t="s">
        <v>62</v>
      </c>
      <c r="O181" s="35">
        <f>'SPJ FUNGSIONAL '!O187</f>
        <v>57656200</v>
      </c>
      <c r="P181" s="81">
        <f>'[1]LRA SP2D'!$R$181</f>
        <v>5202250</v>
      </c>
      <c r="Q181" s="81">
        <v>42356900</v>
      </c>
      <c r="R181" s="81">
        <f t="shared" si="63"/>
        <v>47559150</v>
      </c>
      <c r="S181" s="81">
        <f>'SPJ FUNGSIONAL '!V187</f>
        <v>43031650</v>
      </c>
      <c r="T181" s="81">
        <f>'SPJ FUNGSIONAL '!W187</f>
        <v>6724250</v>
      </c>
      <c r="U181" s="81">
        <f t="shared" si="64"/>
        <v>49755900</v>
      </c>
      <c r="V181" s="81">
        <f t="shared" si="65"/>
        <v>7900300</v>
      </c>
      <c r="W181" s="81"/>
      <c r="X181" s="81">
        <f t="shared" si="66"/>
        <v>-2196750</v>
      </c>
      <c r="Y181" s="207">
        <f t="shared" si="67"/>
        <v>0.86297570772961107</v>
      </c>
    </row>
    <row r="182" spans="1:25" s="3" customFormat="1" ht="39.75" customHeight="1">
      <c r="A182" s="67">
        <v>7</v>
      </c>
      <c r="B182" s="114" t="s">
        <v>19</v>
      </c>
      <c r="C182" s="114" t="s">
        <v>22</v>
      </c>
      <c r="D182" s="16">
        <v>2</v>
      </c>
      <c r="E182" s="105" t="s">
        <v>54</v>
      </c>
      <c r="F182" s="105" t="s">
        <v>30</v>
      </c>
      <c r="G182" s="16">
        <v>5</v>
      </c>
      <c r="H182" s="16">
        <v>1</v>
      </c>
      <c r="I182" s="105" t="s">
        <v>22</v>
      </c>
      <c r="J182" s="106" t="s">
        <v>19</v>
      </c>
      <c r="K182" s="106" t="s">
        <v>19</v>
      </c>
      <c r="L182" s="106" t="s">
        <v>56</v>
      </c>
      <c r="M182" s="51">
        <v>9</v>
      </c>
      <c r="N182" s="39" t="s">
        <v>59</v>
      </c>
      <c r="O182" s="35">
        <f>'SPJ FUNGSIONAL '!O188</f>
        <v>1550000</v>
      </c>
      <c r="P182" s="81">
        <f>'[1]LRA SP2D'!$R$182</f>
        <v>800000</v>
      </c>
      <c r="Q182" s="81">
        <f>T182</f>
        <v>200000</v>
      </c>
      <c r="R182" s="81">
        <f t="shared" si="63"/>
        <v>1000000</v>
      </c>
      <c r="S182" s="81">
        <f>'SPJ FUNGSIONAL '!V188</f>
        <v>800000</v>
      </c>
      <c r="T182" s="81">
        <f>'SPJ FUNGSIONAL '!W188</f>
        <v>200000</v>
      </c>
      <c r="U182" s="81">
        <f t="shared" si="64"/>
        <v>1000000</v>
      </c>
      <c r="V182" s="81">
        <f t="shared" si="65"/>
        <v>550000</v>
      </c>
      <c r="W182" s="81">
        <f t="shared" si="68"/>
        <v>0</v>
      </c>
      <c r="X182" s="81">
        <f t="shared" si="66"/>
        <v>0</v>
      </c>
      <c r="Y182" s="207">
        <f t="shared" si="67"/>
        <v>0.64516129032258063</v>
      </c>
    </row>
    <row r="183" spans="1:25" s="3" customFormat="1" ht="39.75" customHeight="1">
      <c r="A183" s="67">
        <v>7</v>
      </c>
      <c r="B183" s="114" t="s">
        <v>19</v>
      </c>
      <c r="C183" s="114" t="s">
        <v>22</v>
      </c>
      <c r="D183" s="16">
        <v>2</v>
      </c>
      <c r="E183" s="105" t="s">
        <v>54</v>
      </c>
      <c r="F183" s="105" t="s">
        <v>30</v>
      </c>
      <c r="G183" s="16">
        <v>5</v>
      </c>
      <c r="H183" s="16">
        <v>1</v>
      </c>
      <c r="I183" s="105" t="s">
        <v>22</v>
      </c>
      <c r="J183" s="106" t="s">
        <v>19</v>
      </c>
      <c r="K183" s="106" t="s">
        <v>19</v>
      </c>
      <c r="L183" s="106" t="s">
        <v>52</v>
      </c>
      <c r="M183" s="51">
        <v>0</v>
      </c>
      <c r="N183" s="39" t="s">
        <v>112</v>
      </c>
      <c r="O183" s="35">
        <f>'SPJ FUNGSIONAL '!O189</f>
        <v>1600000</v>
      </c>
      <c r="P183" s="81">
        <f>'[1]LRA SP2D'!$R$183</f>
        <v>400000</v>
      </c>
      <c r="Q183" s="81">
        <f>T183</f>
        <v>0</v>
      </c>
      <c r="R183" s="81">
        <f t="shared" si="63"/>
        <v>400000</v>
      </c>
      <c r="S183" s="81">
        <f>'SPJ FUNGSIONAL '!V189</f>
        <v>400000</v>
      </c>
      <c r="T183" s="81">
        <f>'SPJ FUNGSIONAL '!W189</f>
        <v>0</v>
      </c>
      <c r="U183" s="81">
        <f t="shared" si="64"/>
        <v>400000</v>
      </c>
      <c r="V183" s="81">
        <f t="shared" si="65"/>
        <v>1200000</v>
      </c>
      <c r="W183" s="81"/>
      <c r="X183" s="81">
        <f t="shared" si="66"/>
        <v>0</v>
      </c>
      <c r="Y183" s="207">
        <f t="shared" si="67"/>
        <v>0.25</v>
      </c>
    </row>
    <row r="184" spans="1:25" s="3" customFormat="1" ht="39.75" customHeight="1">
      <c r="A184" s="67">
        <v>7</v>
      </c>
      <c r="B184" s="114" t="s">
        <v>19</v>
      </c>
      <c r="C184" s="114" t="s">
        <v>22</v>
      </c>
      <c r="D184" s="16">
        <v>2</v>
      </c>
      <c r="E184" s="105" t="s">
        <v>54</v>
      </c>
      <c r="F184" s="105" t="s">
        <v>30</v>
      </c>
      <c r="G184" s="16">
        <v>5</v>
      </c>
      <c r="H184" s="16">
        <v>1</v>
      </c>
      <c r="I184" s="105" t="s">
        <v>22</v>
      </c>
      <c r="J184" s="106" t="s">
        <v>19</v>
      </c>
      <c r="K184" s="106" t="s">
        <v>19</v>
      </c>
      <c r="L184" s="106" t="s">
        <v>52</v>
      </c>
      <c r="M184" s="51">
        <v>5</v>
      </c>
      <c r="N184" s="318" t="s">
        <v>260</v>
      </c>
      <c r="O184" s="35">
        <f>'SPJ FUNGSIONAL '!O190</f>
        <v>10000000</v>
      </c>
      <c r="P184" s="81">
        <f>'[1]LRA SP2D'!$R$184</f>
        <v>7757000</v>
      </c>
      <c r="Q184" s="81">
        <f>T184</f>
        <v>0</v>
      </c>
      <c r="R184" s="81">
        <f t="shared" si="63"/>
        <v>7757000</v>
      </c>
      <c r="S184" s="81">
        <f>'SPJ FUNGSIONAL '!V190</f>
        <v>7757000</v>
      </c>
      <c r="T184" s="81">
        <f>'SPJ FUNGSIONAL '!W190</f>
        <v>0</v>
      </c>
      <c r="U184" s="81">
        <f t="shared" si="64"/>
        <v>7757000</v>
      </c>
      <c r="V184" s="81">
        <f t="shared" si="65"/>
        <v>2243000</v>
      </c>
      <c r="W184" s="81">
        <f t="shared" si="68"/>
        <v>0</v>
      </c>
      <c r="X184" s="81">
        <f t="shared" si="66"/>
        <v>0</v>
      </c>
      <c r="Y184" s="207">
        <f t="shared" si="67"/>
        <v>0.77569999999999995</v>
      </c>
    </row>
    <row r="185" spans="1:25" s="3" customFormat="1" ht="39.75" customHeight="1">
      <c r="A185" s="67">
        <v>7</v>
      </c>
      <c r="B185" s="114" t="s">
        <v>19</v>
      </c>
      <c r="C185" s="114" t="s">
        <v>22</v>
      </c>
      <c r="D185" s="16">
        <v>2</v>
      </c>
      <c r="E185" s="105" t="s">
        <v>54</v>
      </c>
      <c r="F185" s="105" t="s">
        <v>30</v>
      </c>
      <c r="G185" s="16">
        <v>5</v>
      </c>
      <c r="H185" s="16">
        <v>1</v>
      </c>
      <c r="I185" s="105" t="s">
        <v>22</v>
      </c>
      <c r="J185" s="106" t="s">
        <v>19</v>
      </c>
      <c r="K185" s="106" t="s">
        <v>19</v>
      </c>
      <c r="L185" s="106" t="s">
        <v>66</v>
      </c>
      <c r="M185" s="51">
        <v>2</v>
      </c>
      <c r="N185" s="34" t="s">
        <v>67</v>
      </c>
      <c r="O185" s="35">
        <f>'SPJ FUNGSIONAL '!O191</f>
        <v>119470000</v>
      </c>
      <c r="P185" s="81">
        <f>'[1]LRA SP2D'!$R$185</f>
        <v>55433700</v>
      </c>
      <c r="Q185" s="81">
        <v>32659200</v>
      </c>
      <c r="R185" s="81">
        <f t="shared" si="63"/>
        <v>88092900</v>
      </c>
      <c r="S185" s="81">
        <f>'SPJ FUNGSIONAL '!V191</f>
        <v>65358300</v>
      </c>
      <c r="T185" s="81">
        <f>'SPJ FUNGSIONAL '!W191</f>
        <v>27271388</v>
      </c>
      <c r="U185" s="81">
        <f t="shared" si="64"/>
        <v>92629688</v>
      </c>
      <c r="V185" s="81">
        <f t="shared" si="65"/>
        <v>26840312</v>
      </c>
      <c r="W185" s="81"/>
      <c r="X185" s="81">
        <f t="shared" si="66"/>
        <v>-4536788</v>
      </c>
      <c r="Y185" s="207">
        <f t="shared" si="67"/>
        <v>0.77533847827906588</v>
      </c>
    </row>
    <row r="186" spans="1:25" s="3" customFormat="1" ht="39.75" customHeight="1">
      <c r="A186" s="67">
        <v>7</v>
      </c>
      <c r="B186" s="114" t="s">
        <v>19</v>
      </c>
      <c r="C186" s="114" t="s">
        <v>22</v>
      </c>
      <c r="D186" s="16">
        <v>2</v>
      </c>
      <c r="E186" s="105" t="s">
        <v>54</v>
      </c>
      <c r="F186" s="105" t="s">
        <v>30</v>
      </c>
      <c r="G186" s="16">
        <v>5</v>
      </c>
      <c r="H186" s="16">
        <v>1</v>
      </c>
      <c r="I186" s="105" t="s">
        <v>22</v>
      </c>
      <c r="J186" s="106" t="s">
        <v>19</v>
      </c>
      <c r="K186" s="106" t="s">
        <v>19</v>
      </c>
      <c r="L186" s="106" t="s">
        <v>66</v>
      </c>
      <c r="M186" s="51">
        <v>6</v>
      </c>
      <c r="N186" s="39" t="s">
        <v>201</v>
      </c>
      <c r="O186" s="35">
        <f>'SPJ FUNGSIONAL '!O192</f>
        <v>207660000</v>
      </c>
      <c r="P186" s="81">
        <f>'[1]LRA SP2D'!$R$186</f>
        <v>152859225</v>
      </c>
      <c r="Q186" s="81">
        <f>32419025</f>
        <v>32419025</v>
      </c>
      <c r="R186" s="81">
        <f t="shared" si="63"/>
        <v>185278250</v>
      </c>
      <c r="S186" s="81">
        <f>'SPJ FUNGSIONAL '!V192</f>
        <v>159343250</v>
      </c>
      <c r="T186" s="193">
        <f>'SPJ FUNGSIONAL '!W192</f>
        <v>32533625</v>
      </c>
      <c r="U186" s="81">
        <f t="shared" si="64"/>
        <v>191876875</v>
      </c>
      <c r="V186" s="81">
        <f t="shared" si="65"/>
        <v>15783125</v>
      </c>
      <c r="W186" s="81"/>
      <c r="X186" s="81">
        <f t="shared" si="66"/>
        <v>-6598625</v>
      </c>
      <c r="Y186" s="207">
        <f t="shared" si="67"/>
        <v>0.92399535298083402</v>
      </c>
    </row>
    <row r="187" spans="1:25" s="3" customFormat="1" ht="39.75" customHeight="1">
      <c r="A187" s="67">
        <v>7</v>
      </c>
      <c r="B187" s="114" t="s">
        <v>19</v>
      </c>
      <c r="C187" s="114" t="s">
        <v>22</v>
      </c>
      <c r="D187" s="16">
        <v>2</v>
      </c>
      <c r="E187" s="105" t="s">
        <v>54</v>
      </c>
      <c r="F187" s="105" t="s">
        <v>30</v>
      </c>
      <c r="G187" s="16">
        <v>5</v>
      </c>
      <c r="H187" s="16">
        <v>1</v>
      </c>
      <c r="I187" s="105" t="s">
        <v>22</v>
      </c>
      <c r="J187" s="106" t="s">
        <v>19</v>
      </c>
      <c r="K187" s="106" t="s">
        <v>19</v>
      </c>
      <c r="L187" s="106" t="s">
        <v>66</v>
      </c>
      <c r="M187" s="51">
        <v>8</v>
      </c>
      <c r="N187" s="34" t="s">
        <v>113</v>
      </c>
      <c r="O187" s="35">
        <f>'SPJ FUNGSIONAL '!O193</f>
        <v>51805000</v>
      </c>
      <c r="P187" s="81">
        <f t="shared" ref="P187" si="78">S187</f>
        <v>45036350</v>
      </c>
      <c r="Q187" s="81">
        <v>2486400</v>
      </c>
      <c r="R187" s="81">
        <f t="shared" si="63"/>
        <v>47522750</v>
      </c>
      <c r="S187" s="81">
        <f>'SPJ FUNGSIONAL '!V193</f>
        <v>45036350</v>
      </c>
      <c r="T187" s="81">
        <f>'SPJ FUNGSIONAL '!W193</f>
        <v>2486400</v>
      </c>
      <c r="U187" s="81">
        <f t="shared" si="64"/>
        <v>47522750</v>
      </c>
      <c r="V187" s="81">
        <f t="shared" si="65"/>
        <v>4282250</v>
      </c>
      <c r="W187" s="81"/>
      <c r="X187" s="81">
        <f t="shared" si="66"/>
        <v>0</v>
      </c>
      <c r="Y187" s="207">
        <f t="shared" si="67"/>
        <v>0.91733905993629961</v>
      </c>
    </row>
    <row r="188" spans="1:25" s="3" customFormat="1" ht="39.75" customHeight="1">
      <c r="A188" s="384">
        <v>7</v>
      </c>
      <c r="B188" s="385" t="s">
        <v>19</v>
      </c>
      <c r="C188" s="385" t="s">
        <v>22</v>
      </c>
      <c r="D188" s="307">
        <v>2</v>
      </c>
      <c r="E188" s="306" t="s">
        <v>54</v>
      </c>
      <c r="F188" s="306" t="s">
        <v>30</v>
      </c>
      <c r="G188" s="307">
        <v>5</v>
      </c>
      <c r="H188" s="307">
        <v>1</v>
      </c>
      <c r="I188" s="306" t="s">
        <v>22</v>
      </c>
      <c r="J188" s="314" t="s">
        <v>19</v>
      </c>
      <c r="K188" s="314" t="s">
        <v>19</v>
      </c>
      <c r="L188" s="314" t="s">
        <v>128</v>
      </c>
      <c r="M188" s="326">
        <v>5</v>
      </c>
      <c r="N188" s="309" t="s">
        <v>150</v>
      </c>
      <c r="O188" s="35">
        <f>'SPJ FUNGSIONAL '!O194</f>
        <v>36350000</v>
      </c>
      <c r="P188" s="81">
        <f>'[1]LRA SP2D'!$R$188</f>
        <v>11750000</v>
      </c>
      <c r="Q188" s="81">
        <v>23946250</v>
      </c>
      <c r="R188" s="81">
        <f t="shared" si="63"/>
        <v>35696250</v>
      </c>
      <c r="S188" s="81">
        <f>'[1]LRA SP2D'!$U$188</f>
        <v>24750000</v>
      </c>
      <c r="T188" s="81">
        <f>'SPJ FUNGSIONAL '!W194</f>
        <v>10946250</v>
      </c>
      <c r="U188" s="81">
        <f t="shared" si="64"/>
        <v>35696250</v>
      </c>
      <c r="V188" s="81">
        <f t="shared" ref="V188" si="79">O188-U188</f>
        <v>653750</v>
      </c>
      <c r="W188" s="81"/>
      <c r="X188" s="81">
        <f t="shared" ref="X188" si="80">R188-U188</f>
        <v>0</v>
      </c>
      <c r="Y188" s="207">
        <f t="shared" ref="Y188" si="81">U188/O188*100%</f>
        <v>0.9820151306740027</v>
      </c>
    </row>
    <row r="189" spans="1:25" s="3" customFormat="1" ht="39.75" customHeight="1">
      <c r="A189" s="384">
        <v>7</v>
      </c>
      <c r="B189" s="385" t="s">
        <v>19</v>
      </c>
      <c r="C189" s="385" t="s">
        <v>22</v>
      </c>
      <c r="D189" s="307">
        <v>2</v>
      </c>
      <c r="E189" s="306" t="s">
        <v>54</v>
      </c>
      <c r="F189" s="306" t="s">
        <v>30</v>
      </c>
      <c r="G189" s="307">
        <v>5</v>
      </c>
      <c r="H189" s="307">
        <v>1</v>
      </c>
      <c r="I189" s="306" t="s">
        <v>22</v>
      </c>
      <c r="J189" s="314" t="s">
        <v>19</v>
      </c>
      <c r="K189" s="314" t="s">
        <v>19</v>
      </c>
      <c r="L189" s="314" t="s">
        <v>128</v>
      </c>
      <c r="M189" s="326">
        <v>6</v>
      </c>
      <c r="N189" s="309" t="s">
        <v>286</v>
      </c>
      <c r="O189" s="35">
        <v>4200000</v>
      </c>
      <c r="P189" s="81"/>
      <c r="Q189" s="81">
        <v>4200000</v>
      </c>
      <c r="R189" s="81">
        <f t="shared" si="63"/>
        <v>4200000</v>
      </c>
      <c r="S189" s="81">
        <f>'[1]LRA SP2D'!$U$189</f>
        <v>4200000</v>
      </c>
      <c r="T189" s="81">
        <f>'SPJ FUNGSIONAL '!W195</f>
        <v>0</v>
      </c>
      <c r="U189" s="81">
        <f t="shared" si="64"/>
        <v>4200000</v>
      </c>
      <c r="V189" s="81">
        <f t="shared" ref="V189" si="82">O189-U189</f>
        <v>0</v>
      </c>
      <c r="W189" s="81"/>
      <c r="X189" s="81">
        <f t="shared" ref="X189" si="83">R189-U189</f>
        <v>0</v>
      </c>
      <c r="Y189" s="207">
        <f t="shared" ref="Y189" si="84">U189/O189*100%</f>
        <v>1</v>
      </c>
    </row>
    <row r="190" spans="1:25" s="3" customFormat="1" ht="39.75" customHeight="1">
      <c r="A190" s="65">
        <v>7</v>
      </c>
      <c r="B190" s="113" t="s">
        <v>19</v>
      </c>
      <c r="C190" s="113" t="s">
        <v>22</v>
      </c>
      <c r="D190" s="12">
        <v>2</v>
      </c>
      <c r="E190" s="104" t="s">
        <v>54</v>
      </c>
      <c r="F190" s="104" t="s">
        <v>30</v>
      </c>
      <c r="G190" s="12">
        <v>5</v>
      </c>
      <c r="H190" s="12">
        <v>1</v>
      </c>
      <c r="I190" s="104" t="s">
        <v>22</v>
      </c>
      <c r="J190" s="107" t="s">
        <v>22</v>
      </c>
      <c r="K190" s="36"/>
      <c r="L190" s="36"/>
      <c r="M190" s="51"/>
      <c r="N190" s="53" t="s">
        <v>75</v>
      </c>
      <c r="O190" s="38">
        <f>O191</f>
        <v>1519800000</v>
      </c>
      <c r="P190" s="82">
        <f>P191</f>
        <v>1189650000</v>
      </c>
      <c r="Q190" s="82">
        <f>Q191</f>
        <v>197250000</v>
      </c>
      <c r="R190" s="82">
        <f t="shared" si="63"/>
        <v>1386900000</v>
      </c>
      <c r="S190" s="82">
        <f>S191</f>
        <v>1210400000</v>
      </c>
      <c r="T190" s="82">
        <f>T191</f>
        <v>284500000</v>
      </c>
      <c r="U190" s="82">
        <f t="shared" si="64"/>
        <v>1494900000</v>
      </c>
      <c r="V190" s="82">
        <f t="shared" si="65"/>
        <v>24900000</v>
      </c>
      <c r="W190" s="82"/>
      <c r="X190" s="82">
        <f t="shared" si="66"/>
        <v>-108000000</v>
      </c>
      <c r="Y190" s="209">
        <f t="shared" si="67"/>
        <v>0.98361626529806556</v>
      </c>
    </row>
    <row r="191" spans="1:25" s="3" customFormat="1" ht="39.75" customHeight="1">
      <c r="A191" s="65">
        <v>7</v>
      </c>
      <c r="B191" s="113" t="s">
        <v>19</v>
      </c>
      <c r="C191" s="113" t="s">
        <v>22</v>
      </c>
      <c r="D191" s="12">
        <v>2</v>
      </c>
      <c r="E191" s="104" t="s">
        <v>54</v>
      </c>
      <c r="F191" s="104" t="s">
        <v>30</v>
      </c>
      <c r="G191" s="12">
        <v>5</v>
      </c>
      <c r="H191" s="12">
        <v>1</v>
      </c>
      <c r="I191" s="104" t="s">
        <v>22</v>
      </c>
      <c r="J191" s="107" t="s">
        <v>22</v>
      </c>
      <c r="K191" s="107" t="s">
        <v>19</v>
      </c>
      <c r="L191" s="36"/>
      <c r="M191" s="51"/>
      <c r="N191" s="53" t="s">
        <v>114</v>
      </c>
      <c r="O191" s="38">
        <f>SUM(O192:O198)</f>
        <v>1519800000</v>
      </c>
      <c r="P191" s="82">
        <f>SUM(P192:P198)</f>
        <v>1189650000</v>
      </c>
      <c r="Q191" s="82">
        <f>SUM(Q192:Q198)</f>
        <v>197250000</v>
      </c>
      <c r="R191" s="82">
        <f t="shared" ref="R191:R240" si="85">P191+Q191</f>
        <v>1386900000</v>
      </c>
      <c r="S191" s="82">
        <f>SUM(S192:S198)</f>
        <v>1210400000</v>
      </c>
      <c r="T191" s="82">
        <f>SUM(T192:T198)</f>
        <v>284500000</v>
      </c>
      <c r="U191" s="82">
        <f t="shared" ref="U191:U240" si="86">S191+T191</f>
        <v>1494900000</v>
      </c>
      <c r="V191" s="82">
        <f t="shared" ref="V191:V240" si="87">O191-U191</f>
        <v>24900000</v>
      </c>
      <c r="W191" s="82"/>
      <c r="X191" s="82">
        <f t="shared" ref="X191:X240" si="88">R191-U191</f>
        <v>-108000000</v>
      </c>
      <c r="Y191" s="209">
        <f t="shared" si="67"/>
        <v>0.98361626529806556</v>
      </c>
    </row>
    <row r="192" spans="1:25" s="3" customFormat="1" ht="39.75" customHeight="1">
      <c r="A192" s="67">
        <v>7</v>
      </c>
      <c r="B192" s="114" t="s">
        <v>19</v>
      </c>
      <c r="C192" s="114" t="s">
        <v>22</v>
      </c>
      <c r="D192" s="16">
        <v>2</v>
      </c>
      <c r="E192" s="105" t="s">
        <v>54</v>
      </c>
      <c r="F192" s="105" t="s">
        <v>30</v>
      </c>
      <c r="G192" s="16">
        <v>5</v>
      </c>
      <c r="H192" s="16">
        <v>1</v>
      </c>
      <c r="I192" s="105" t="s">
        <v>22</v>
      </c>
      <c r="J192" s="106" t="s">
        <v>22</v>
      </c>
      <c r="K192" s="106" t="s">
        <v>19</v>
      </c>
      <c r="L192" s="106" t="s">
        <v>27</v>
      </c>
      <c r="M192" s="108" t="s">
        <v>86</v>
      </c>
      <c r="N192" s="39" t="s">
        <v>115</v>
      </c>
      <c r="O192" s="81">
        <f>'SPJ FUNGSIONAL '!O198</f>
        <v>14400000</v>
      </c>
      <c r="P192" s="81">
        <f t="shared" ref="P192:P198" si="89">S192</f>
        <v>14400000</v>
      </c>
      <c r="Q192" s="81">
        <f>T192</f>
        <v>0</v>
      </c>
      <c r="R192" s="81">
        <f t="shared" si="85"/>
        <v>14400000</v>
      </c>
      <c r="S192" s="81">
        <f>'SPJ FUNGSIONAL '!V198</f>
        <v>14400000</v>
      </c>
      <c r="T192" s="81">
        <f>'SPJ FUNGSIONAL '!W198</f>
        <v>0</v>
      </c>
      <c r="U192" s="81">
        <f t="shared" si="86"/>
        <v>14400000</v>
      </c>
      <c r="V192" s="81">
        <f t="shared" si="87"/>
        <v>0</v>
      </c>
      <c r="W192" s="81"/>
      <c r="X192" s="81">
        <f t="shared" si="88"/>
        <v>0</v>
      </c>
      <c r="Y192" s="207">
        <f t="shared" ref="Y192:Y241" si="90">U192/O192*100%</f>
        <v>1</v>
      </c>
    </row>
    <row r="193" spans="1:25" s="3" customFormat="1" ht="39.75" customHeight="1">
      <c r="A193" s="384">
        <v>7</v>
      </c>
      <c r="B193" s="385" t="s">
        <v>19</v>
      </c>
      <c r="C193" s="385" t="s">
        <v>22</v>
      </c>
      <c r="D193" s="307">
        <v>2</v>
      </c>
      <c r="E193" s="306" t="s">
        <v>54</v>
      </c>
      <c r="F193" s="306" t="s">
        <v>30</v>
      </c>
      <c r="G193" s="307">
        <v>5</v>
      </c>
      <c r="H193" s="307">
        <v>1</v>
      </c>
      <c r="I193" s="306" t="s">
        <v>22</v>
      </c>
      <c r="J193" s="314" t="s">
        <v>22</v>
      </c>
      <c r="K193" s="314" t="s">
        <v>19</v>
      </c>
      <c r="L193" s="314" t="s">
        <v>27</v>
      </c>
      <c r="M193" s="342">
        <v>6</v>
      </c>
      <c r="N193" s="318" t="s">
        <v>138</v>
      </c>
      <c r="O193" s="81">
        <f>'SPJ FUNGSIONAL '!O199</f>
        <v>44700000</v>
      </c>
      <c r="P193" s="81">
        <f t="shared" si="89"/>
        <v>16750000</v>
      </c>
      <c r="Q193" s="81">
        <v>25050000</v>
      </c>
      <c r="R193" s="81">
        <f t="shared" si="85"/>
        <v>41800000</v>
      </c>
      <c r="S193" s="81">
        <f>'SPJ FUNGSIONAL '!V199</f>
        <v>16750000</v>
      </c>
      <c r="T193" s="81">
        <f>'SPJ FUNGSIONAL '!W199</f>
        <v>27550000</v>
      </c>
      <c r="U193" s="81">
        <f t="shared" si="86"/>
        <v>44300000</v>
      </c>
      <c r="V193" s="81">
        <f t="shared" ref="V193" si="91">O193-U193</f>
        <v>400000</v>
      </c>
      <c r="W193" s="81"/>
      <c r="X193" s="81">
        <f t="shared" ref="X193" si="92">R193-U193</f>
        <v>-2500000</v>
      </c>
      <c r="Y193" s="207">
        <f t="shared" ref="Y193" si="93">U193/O193*100%</f>
        <v>0.99105145413870244</v>
      </c>
    </row>
    <row r="194" spans="1:25" s="3" customFormat="1" ht="39.75" customHeight="1">
      <c r="A194" s="67">
        <v>7</v>
      </c>
      <c r="B194" s="114" t="s">
        <v>19</v>
      </c>
      <c r="C194" s="114" t="s">
        <v>22</v>
      </c>
      <c r="D194" s="16">
        <v>2</v>
      </c>
      <c r="E194" s="105" t="s">
        <v>54</v>
      </c>
      <c r="F194" s="105" t="s">
        <v>30</v>
      </c>
      <c r="G194" s="16">
        <v>5</v>
      </c>
      <c r="H194" s="16">
        <v>1</v>
      </c>
      <c r="I194" s="105" t="s">
        <v>22</v>
      </c>
      <c r="J194" s="106" t="s">
        <v>22</v>
      </c>
      <c r="K194" s="106" t="s">
        <v>19</v>
      </c>
      <c r="L194" s="106" t="s">
        <v>56</v>
      </c>
      <c r="M194" s="108">
        <v>0</v>
      </c>
      <c r="N194" s="39" t="s">
        <v>203</v>
      </c>
      <c r="O194" s="81">
        <f>'SPJ FUNGSIONAL '!O200</f>
        <v>1427000000</v>
      </c>
      <c r="P194" s="81">
        <f>'[1]LRA SP2D'!$R$194</f>
        <v>1138050000</v>
      </c>
      <c r="Q194" s="81">
        <v>163200000</v>
      </c>
      <c r="R194" s="81">
        <f t="shared" si="85"/>
        <v>1301250000</v>
      </c>
      <c r="S194" s="81">
        <f>'SPJ FUNGSIONAL '!V200</f>
        <v>1158800000</v>
      </c>
      <c r="T194" s="81">
        <f>'SPJ FUNGSIONAL '!W200</f>
        <v>247950000</v>
      </c>
      <c r="U194" s="81">
        <f t="shared" si="86"/>
        <v>1406750000</v>
      </c>
      <c r="V194" s="81">
        <f t="shared" si="87"/>
        <v>20250000</v>
      </c>
      <c r="W194" s="81"/>
      <c r="X194" s="81">
        <f t="shared" si="88"/>
        <v>-105500000</v>
      </c>
      <c r="Y194" s="207">
        <f t="shared" si="90"/>
        <v>0.98580939032936232</v>
      </c>
    </row>
    <row r="195" spans="1:25" s="3" customFormat="1" ht="39.75" customHeight="1">
      <c r="A195" s="67">
        <v>7</v>
      </c>
      <c r="B195" s="114" t="s">
        <v>19</v>
      </c>
      <c r="C195" s="114" t="s">
        <v>22</v>
      </c>
      <c r="D195" s="16">
        <v>2</v>
      </c>
      <c r="E195" s="105" t="s">
        <v>54</v>
      </c>
      <c r="F195" s="105" t="s">
        <v>30</v>
      </c>
      <c r="G195" s="16">
        <v>5</v>
      </c>
      <c r="H195" s="16">
        <v>1</v>
      </c>
      <c r="I195" s="105" t="s">
        <v>22</v>
      </c>
      <c r="J195" s="106" t="s">
        <v>22</v>
      </c>
      <c r="K195" s="106" t="s">
        <v>19</v>
      </c>
      <c r="L195" s="106" t="s">
        <v>52</v>
      </c>
      <c r="M195" s="51">
        <v>7</v>
      </c>
      <c r="N195" s="34" t="s">
        <v>116</v>
      </c>
      <c r="O195" s="81">
        <f>'SPJ FUNGSIONAL '!O201</f>
        <v>26250000</v>
      </c>
      <c r="P195" s="81">
        <f t="shared" si="89"/>
        <v>17250000</v>
      </c>
      <c r="Q195" s="81">
        <v>9000000</v>
      </c>
      <c r="R195" s="81">
        <f t="shared" si="85"/>
        <v>26250000</v>
      </c>
      <c r="S195" s="81">
        <f>'SPJ FUNGSIONAL '!V201</f>
        <v>17250000</v>
      </c>
      <c r="T195" s="81">
        <f>'SPJ FUNGSIONAL '!W201</f>
        <v>9000000</v>
      </c>
      <c r="U195" s="81">
        <f t="shared" si="86"/>
        <v>26250000</v>
      </c>
      <c r="V195" s="81">
        <f t="shared" si="87"/>
        <v>0</v>
      </c>
      <c r="W195" s="81"/>
      <c r="X195" s="81">
        <f t="shared" si="88"/>
        <v>0</v>
      </c>
      <c r="Y195" s="207">
        <f t="shared" si="90"/>
        <v>1</v>
      </c>
    </row>
    <row r="196" spans="1:25" s="3" customFormat="1" ht="39.75" customHeight="1">
      <c r="A196" s="384">
        <v>7</v>
      </c>
      <c r="B196" s="385" t="s">
        <v>19</v>
      </c>
      <c r="C196" s="385" t="s">
        <v>22</v>
      </c>
      <c r="D196" s="307">
        <v>2</v>
      </c>
      <c r="E196" s="306" t="s">
        <v>54</v>
      </c>
      <c r="F196" s="306" t="s">
        <v>30</v>
      </c>
      <c r="G196" s="307">
        <v>5</v>
      </c>
      <c r="H196" s="307">
        <v>1</v>
      </c>
      <c r="I196" s="306" t="s">
        <v>22</v>
      </c>
      <c r="J196" s="314" t="s">
        <v>22</v>
      </c>
      <c r="K196" s="314" t="s">
        <v>54</v>
      </c>
      <c r="L196" s="314" t="s">
        <v>52</v>
      </c>
      <c r="M196" s="326">
        <v>6</v>
      </c>
      <c r="N196" s="309" t="s">
        <v>261</v>
      </c>
      <c r="O196" s="81">
        <f>'SPJ FUNGSIONAL '!O202</f>
        <v>5500000</v>
      </c>
      <c r="P196" s="81">
        <f t="shared" si="89"/>
        <v>0</v>
      </c>
      <c r="Q196" s="81">
        <f>T196</f>
        <v>0</v>
      </c>
      <c r="R196" s="81">
        <f t="shared" si="85"/>
        <v>0</v>
      </c>
      <c r="S196" s="81"/>
      <c r="T196" s="81">
        <f>'SPJ FUNGSIONAL '!W202</f>
        <v>0</v>
      </c>
      <c r="U196" s="81">
        <f t="shared" si="86"/>
        <v>0</v>
      </c>
      <c r="V196" s="81">
        <f t="shared" ref="V196:V198" si="94">O196-U196</f>
        <v>5500000</v>
      </c>
      <c r="W196" s="81"/>
      <c r="X196" s="81">
        <f t="shared" ref="X196:X198" si="95">R196-U196</f>
        <v>0</v>
      </c>
      <c r="Y196" s="207">
        <f t="shared" ref="Y196:Y197" si="96">U196/O196*100%</f>
        <v>0</v>
      </c>
    </row>
    <row r="197" spans="1:25" s="3" customFormat="1" ht="39.75" customHeight="1">
      <c r="A197" s="384">
        <v>7</v>
      </c>
      <c r="B197" s="385" t="s">
        <v>19</v>
      </c>
      <c r="C197" s="385" t="s">
        <v>22</v>
      </c>
      <c r="D197" s="307">
        <v>2</v>
      </c>
      <c r="E197" s="306" t="s">
        <v>54</v>
      </c>
      <c r="F197" s="306" t="s">
        <v>30</v>
      </c>
      <c r="G197" s="307">
        <v>5</v>
      </c>
      <c r="H197" s="307">
        <v>1</v>
      </c>
      <c r="I197" s="306" t="s">
        <v>22</v>
      </c>
      <c r="J197" s="314" t="s">
        <v>22</v>
      </c>
      <c r="K197" s="314" t="s">
        <v>54</v>
      </c>
      <c r="L197" s="314" t="s">
        <v>100</v>
      </c>
      <c r="M197" s="326">
        <v>7</v>
      </c>
      <c r="N197" s="309" t="s">
        <v>207</v>
      </c>
      <c r="O197" s="81">
        <f>'SPJ FUNGSIONAL '!O203</f>
        <v>1950000</v>
      </c>
      <c r="P197" s="81">
        <f t="shared" si="89"/>
        <v>0</v>
      </c>
      <c r="Q197" s="81"/>
      <c r="R197" s="81"/>
      <c r="S197" s="81"/>
      <c r="T197" s="81"/>
      <c r="U197" s="81"/>
      <c r="V197" s="81">
        <f t="shared" si="94"/>
        <v>1950000</v>
      </c>
      <c r="W197" s="81"/>
      <c r="X197" s="81">
        <f t="shared" si="95"/>
        <v>0</v>
      </c>
      <c r="Y197" s="207">
        <f t="shared" si="96"/>
        <v>0</v>
      </c>
    </row>
    <row r="198" spans="1:25" s="3" customFormat="1" ht="39.75" customHeight="1">
      <c r="A198" s="384">
        <v>7</v>
      </c>
      <c r="B198" s="385" t="s">
        <v>19</v>
      </c>
      <c r="C198" s="385" t="s">
        <v>22</v>
      </c>
      <c r="D198" s="307">
        <v>2</v>
      </c>
      <c r="E198" s="306" t="s">
        <v>54</v>
      </c>
      <c r="F198" s="306" t="s">
        <v>30</v>
      </c>
      <c r="G198" s="307">
        <v>5</v>
      </c>
      <c r="H198" s="307">
        <v>1</v>
      </c>
      <c r="I198" s="306" t="s">
        <v>22</v>
      </c>
      <c r="J198" s="314" t="s">
        <v>22</v>
      </c>
      <c r="K198" s="314" t="s">
        <v>32</v>
      </c>
      <c r="L198" s="314" t="s">
        <v>205</v>
      </c>
      <c r="M198" s="326">
        <v>1</v>
      </c>
      <c r="N198" s="318" t="s">
        <v>206</v>
      </c>
      <c r="O198" s="81">
        <f>'SPJ FUNGSIONAL '!O204</f>
        <v>0</v>
      </c>
      <c r="P198" s="81">
        <f t="shared" si="89"/>
        <v>3200000</v>
      </c>
      <c r="Q198" s="81"/>
      <c r="R198" s="81"/>
      <c r="S198" s="81">
        <f>'SPJ FUNGSIONAL '!V202</f>
        <v>3200000</v>
      </c>
      <c r="T198" s="81"/>
      <c r="U198" s="81"/>
      <c r="V198" s="81">
        <f t="shared" si="94"/>
        <v>0</v>
      </c>
      <c r="W198" s="81"/>
      <c r="X198" s="81">
        <f t="shared" si="95"/>
        <v>0</v>
      </c>
      <c r="Y198" s="207">
        <v>0</v>
      </c>
    </row>
    <row r="199" spans="1:25" s="3" customFormat="1" ht="39.75" customHeight="1">
      <c r="A199" s="65">
        <v>7</v>
      </c>
      <c r="B199" s="113" t="s">
        <v>19</v>
      </c>
      <c r="C199" s="113" t="s">
        <v>22</v>
      </c>
      <c r="D199" s="12">
        <v>2</v>
      </c>
      <c r="E199" s="104" t="s">
        <v>54</v>
      </c>
      <c r="F199" s="104" t="s">
        <v>30</v>
      </c>
      <c r="G199" s="12">
        <v>5</v>
      </c>
      <c r="H199" s="12">
        <v>1</v>
      </c>
      <c r="I199" s="104" t="s">
        <v>22</v>
      </c>
      <c r="J199" s="107" t="s">
        <v>54</v>
      </c>
      <c r="K199" s="50"/>
      <c r="L199" s="36"/>
      <c r="M199" s="51"/>
      <c r="N199" s="53" t="s">
        <v>68</v>
      </c>
      <c r="O199" s="82">
        <f>O200</f>
        <v>121302750</v>
      </c>
      <c r="P199" s="82">
        <f>P200</f>
        <v>64797250</v>
      </c>
      <c r="Q199" s="82">
        <f>Q200</f>
        <v>29000000</v>
      </c>
      <c r="R199" s="82">
        <f t="shared" si="85"/>
        <v>93797250</v>
      </c>
      <c r="S199" s="82">
        <f>'SPJ FUNGSIONAL '!V205</f>
        <v>69447250</v>
      </c>
      <c r="T199" s="82">
        <f>T200</f>
        <v>28375000</v>
      </c>
      <c r="U199" s="82">
        <f t="shared" si="86"/>
        <v>97822250</v>
      </c>
      <c r="V199" s="82">
        <f t="shared" si="87"/>
        <v>23480500</v>
      </c>
      <c r="W199" s="82"/>
      <c r="X199" s="82">
        <f t="shared" si="88"/>
        <v>-4025000</v>
      </c>
      <c r="Y199" s="209">
        <f t="shared" si="90"/>
        <v>0.80643060441745962</v>
      </c>
    </row>
    <row r="200" spans="1:25" s="3" customFormat="1" ht="39.75" customHeight="1">
      <c r="A200" s="65">
        <v>7</v>
      </c>
      <c r="B200" s="113" t="s">
        <v>19</v>
      </c>
      <c r="C200" s="113" t="s">
        <v>22</v>
      </c>
      <c r="D200" s="12">
        <v>2</v>
      </c>
      <c r="E200" s="104" t="s">
        <v>54</v>
      </c>
      <c r="F200" s="104" t="s">
        <v>30</v>
      </c>
      <c r="G200" s="12">
        <v>5</v>
      </c>
      <c r="H200" s="12">
        <v>1</v>
      </c>
      <c r="I200" s="104" t="s">
        <v>22</v>
      </c>
      <c r="J200" s="107" t="s">
        <v>54</v>
      </c>
      <c r="K200" s="107" t="s">
        <v>19</v>
      </c>
      <c r="L200" s="50"/>
      <c r="M200" s="51"/>
      <c r="N200" s="53" t="s">
        <v>69</v>
      </c>
      <c r="O200" s="82">
        <f>O201+O202</f>
        <v>121302750</v>
      </c>
      <c r="P200" s="82">
        <f>P201+P202</f>
        <v>64797250</v>
      </c>
      <c r="Q200" s="82">
        <f>Q201+Q202</f>
        <v>29000000</v>
      </c>
      <c r="R200" s="82">
        <f t="shared" si="85"/>
        <v>93797250</v>
      </c>
      <c r="S200" s="82">
        <f>'SPJ FUNGSIONAL '!V206</f>
        <v>69447250</v>
      </c>
      <c r="T200" s="82">
        <f>T201+T202</f>
        <v>28375000</v>
      </c>
      <c r="U200" s="82">
        <f t="shared" si="86"/>
        <v>97822250</v>
      </c>
      <c r="V200" s="82">
        <f t="shared" si="87"/>
        <v>23480500</v>
      </c>
      <c r="W200" s="82"/>
      <c r="X200" s="82">
        <f t="shared" si="88"/>
        <v>-4025000</v>
      </c>
      <c r="Y200" s="207">
        <f t="shared" si="90"/>
        <v>0.80643060441745962</v>
      </c>
    </row>
    <row r="201" spans="1:25" s="3" customFormat="1" ht="39.75" customHeight="1">
      <c r="A201" s="67">
        <v>7</v>
      </c>
      <c r="B201" s="114" t="s">
        <v>19</v>
      </c>
      <c r="C201" s="114" t="s">
        <v>22</v>
      </c>
      <c r="D201" s="16">
        <v>2</v>
      </c>
      <c r="E201" s="105" t="s">
        <v>54</v>
      </c>
      <c r="F201" s="105" t="s">
        <v>30</v>
      </c>
      <c r="G201" s="16">
        <v>5</v>
      </c>
      <c r="H201" s="16">
        <v>1</v>
      </c>
      <c r="I201" s="105" t="s">
        <v>22</v>
      </c>
      <c r="J201" s="106" t="s">
        <v>54</v>
      </c>
      <c r="K201" s="106" t="s">
        <v>19</v>
      </c>
      <c r="L201" s="106" t="s">
        <v>27</v>
      </c>
      <c r="M201" s="108" t="s">
        <v>10</v>
      </c>
      <c r="N201" s="34" t="s">
        <v>70</v>
      </c>
      <c r="O201" s="81">
        <f>'SPJ FUNGSIONAL '!O207</f>
        <v>5402750</v>
      </c>
      <c r="P201" s="81">
        <f>'[1]LRA SP2D'!$R$201</f>
        <v>2747250</v>
      </c>
      <c r="Q201" s="81">
        <v>2150000</v>
      </c>
      <c r="R201" s="81">
        <f t="shared" si="85"/>
        <v>4897250</v>
      </c>
      <c r="S201" s="81">
        <f>'SPJ FUNGSIONAL '!V207</f>
        <v>4897250</v>
      </c>
      <c r="T201" s="81">
        <f>'SPJ FUNGSIONAL '!W207</f>
        <v>125000</v>
      </c>
      <c r="U201" s="81">
        <f t="shared" si="86"/>
        <v>5022250</v>
      </c>
      <c r="V201" s="81">
        <f t="shared" si="87"/>
        <v>380500</v>
      </c>
      <c r="W201" s="81"/>
      <c r="X201" s="81">
        <f t="shared" si="88"/>
        <v>-125000</v>
      </c>
      <c r="Y201" s="207">
        <f t="shared" si="90"/>
        <v>0.92957290268844572</v>
      </c>
    </row>
    <row r="202" spans="1:25" s="3" customFormat="1" ht="39.75" customHeight="1">
      <c r="A202" s="67">
        <v>7</v>
      </c>
      <c r="B202" s="114" t="s">
        <v>19</v>
      </c>
      <c r="C202" s="114" t="s">
        <v>22</v>
      </c>
      <c r="D202" s="16">
        <v>2</v>
      </c>
      <c r="E202" s="105" t="s">
        <v>54</v>
      </c>
      <c r="F202" s="105" t="s">
        <v>30</v>
      </c>
      <c r="G202" s="16">
        <v>5</v>
      </c>
      <c r="H202" s="16">
        <v>1</v>
      </c>
      <c r="I202" s="105" t="s">
        <v>22</v>
      </c>
      <c r="J202" s="106" t="s">
        <v>54</v>
      </c>
      <c r="K202" s="106" t="s">
        <v>19</v>
      </c>
      <c r="L202" s="106" t="s">
        <v>27</v>
      </c>
      <c r="M202" s="51">
        <v>3</v>
      </c>
      <c r="N202" s="34" t="s">
        <v>117</v>
      </c>
      <c r="O202" s="81">
        <f>'SPJ FUNGSIONAL '!O208</f>
        <v>115900000</v>
      </c>
      <c r="P202" s="81">
        <f>'[1]LRA SP2D'!$R$202</f>
        <v>62050000</v>
      </c>
      <c r="Q202" s="81">
        <v>26850000</v>
      </c>
      <c r="R202" s="81">
        <f t="shared" si="85"/>
        <v>88900000</v>
      </c>
      <c r="S202" s="81">
        <f>'SPJ FUNGSIONAL '!V208</f>
        <v>64550000</v>
      </c>
      <c r="T202" s="81">
        <f>'SPJ FUNGSIONAL '!W208</f>
        <v>28250000</v>
      </c>
      <c r="U202" s="81">
        <f t="shared" si="86"/>
        <v>92800000</v>
      </c>
      <c r="V202" s="81">
        <f t="shared" si="87"/>
        <v>23100000</v>
      </c>
      <c r="W202" s="81"/>
      <c r="X202" s="81">
        <f t="shared" si="88"/>
        <v>-3900000</v>
      </c>
      <c r="Y202" s="207">
        <f t="shared" si="90"/>
        <v>0.80069025021570317</v>
      </c>
    </row>
    <row r="203" spans="1:25" s="3" customFormat="1" ht="39.75" customHeight="1">
      <c r="A203" s="65">
        <v>7</v>
      </c>
      <c r="B203" s="113" t="s">
        <v>19</v>
      </c>
      <c r="C203" s="113" t="s">
        <v>22</v>
      </c>
      <c r="D203" s="12">
        <v>2</v>
      </c>
      <c r="E203" s="104" t="s">
        <v>54</v>
      </c>
      <c r="F203" s="104" t="s">
        <v>30</v>
      </c>
      <c r="G203" s="12">
        <v>5</v>
      </c>
      <c r="H203" s="12">
        <v>1</v>
      </c>
      <c r="I203" s="104" t="s">
        <v>22</v>
      </c>
      <c r="J203" s="107" t="s">
        <v>32</v>
      </c>
      <c r="K203" s="50"/>
      <c r="L203" s="36"/>
      <c r="M203" s="51"/>
      <c r="N203" s="37" t="s">
        <v>118</v>
      </c>
      <c r="O203" s="82">
        <f t="shared" ref="O203:Q204" si="97">O204</f>
        <v>14000000</v>
      </c>
      <c r="P203" s="82">
        <f t="shared" si="97"/>
        <v>10000000</v>
      </c>
      <c r="Q203" s="82">
        <f t="shared" si="97"/>
        <v>4000000</v>
      </c>
      <c r="R203" s="82">
        <f t="shared" si="85"/>
        <v>14000000</v>
      </c>
      <c r="S203" s="82">
        <f>S204</f>
        <v>10000000</v>
      </c>
      <c r="T203" s="82">
        <f>T204</f>
        <v>4000000</v>
      </c>
      <c r="U203" s="82">
        <f t="shared" si="86"/>
        <v>14000000</v>
      </c>
      <c r="V203" s="82">
        <f t="shared" si="87"/>
        <v>0</v>
      </c>
      <c r="W203" s="82"/>
      <c r="X203" s="82">
        <f t="shared" si="88"/>
        <v>0</v>
      </c>
      <c r="Y203" s="209">
        <f t="shared" si="90"/>
        <v>1</v>
      </c>
    </row>
    <row r="204" spans="1:25" s="3" customFormat="1" ht="39.75" customHeight="1">
      <c r="A204" s="65">
        <v>7</v>
      </c>
      <c r="B204" s="113" t="s">
        <v>19</v>
      </c>
      <c r="C204" s="113" t="s">
        <v>22</v>
      </c>
      <c r="D204" s="12">
        <v>2</v>
      </c>
      <c r="E204" s="104" t="s">
        <v>54</v>
      </c>
      <c r="F204" s="104" t="s">
        <v>30</v>
      </c>
      <c r="G204" s="12">
        <v>5</v>
      </c>
      <c r="H204" s="12">
        <v>1</v>
      </c>
      <c r="I204" s="104" t="s">
        <v>22</v>
      </c>
      <c r="J204" s="107" t="s">
        <v>32</v>
      </c>
      <c r="K204" s="107" t="s">
        <v>19</v>
      </c>
      <c r="L204" s="36"/>
      <c r="M204" s="51"/>
      <c r="N204" s="37" t="s">
        <v>119</v>
      </c>
      <c r="O204" s="82">
        <f t="shared" si="97"/>
        <v>14000000</v>
      </c>
      <c r="P204" s="82">
        <f t="shared" si="97"/>
        <v>10000000</v>
      </c>
      <c r="Q204" s="82">
        <f t="shared" si="97"/>
        <v>4000000</v>
      </c>
      <c r="R204" s="82">
        <f t="shared" si="85"/>
        <v>14000000</v>
      </c>
      <c r="S204" s="82">
        <f>S205</f>
        <v>10000000</v>
      </c>
      <c r="T204" s="82">
        <f>T205</f>
        <v>4000000</v>
      </c>
      <c r="U204" s="82">
        <f t="shared" si="86"/>
        <v>14000000</v>
      </c>
      <c r="V204" s="82">
        <f t="shared" si="87"/>
        <v>0</v>
      </c>
      <c r="W204" s="82"/>
      <c r="X204" s="82">
        <f t="shared" si="88"/>
        <v>0</v>
      </c>
      <c r="Y204" s="209">
        <f t="shared" si="90"/>
        <v>1</v>
      </c>
    </row>
    <row r="205" spans="1:25" s="3" customFormat="1" ht="39.75" customHeight="1">
      <c r="A205" s="67">
        <v>7</v>
      </c>
      <c r="B205" s="114" t="s">
        <v>19</v>
      </c>
      <c r="C205" s="114" t="s">
        <v>22</v>
      </c>
      <c r="D205" s="16">
        <v>2</v>
      </c>
      <c r="E205" s="105" t="s">
        <v>54</v>
      </c>
      <c r="F205" s="105" t="s">
        <v>30</v>
      </c>
      <c r="G205" s="16">
        <v>5</v>
      </c>
      <c r="H205" s="16">
        <v>1</v>
      </c>
      <c r="I205" s="105" t="s">
        <v>22</v>
      </c>
      <c r="J205" s="106" t="s">
        <v>32</v>
      </c>
      <c r="K205" s="106" t="s">
        <v>19</v>
      </c>
      <c r="L205" s="106" t="s">
        <v>27</v>
      </c>
      <c r="M205" s="108" t="s">
        <v>10</v>
      </c>
      <c r="N205" s="34" t="s">
        <v>120</v>
      </c>
      <c r="O205" s="81">
        <f>'SPJ FUNGSIONAL '!O211</f>
        <v>14000000</v>
      </c>
      <c r="P205" s="81">
        <f>S205</f>
        <v>10000000</v>
      </c>
      <c r="Q205" s="81">
        <f>T205</f>
        <v>4000000</v>
      </c>
      <c r="R205" s="81">
        <f t="shared" si="85"/>
        <v>14000000</v>
      </c>
      <c r="S205" s="81">
        <f>'SPJ FUNGSIONAL '!V211</f>
        <v>10000000</v>
      </c>
      <c r="T205" s="81">
        <f>'SPJ FUNGSIONAL '!W211</f>
        <v>4000000</v>
      </c>
      <c r="U205" s="81">
        <f t="shared" si="86"/>
        <v>14000000</v>
      </c>
      <c r="V205" s="81">
        <f t="shared" si="87"/>
        <v>0</v>
      </c>
      <c r="W205" s="81"/>
      <c r="X205" s="81">
        <f t="shared" si="88"/>
        <v>0</v>
      </c>
      <c r="Y205" s="207">
        <f t="shared" si="90"/>
        <v>1</v>
      </c>
    </row>
    <row r="206" spans="1:25" s="3" customFormat="1" ht="25" customHeight="1">
      <c r="A206" s="67"/>
      <c r="B206" s="68"/>
      <c r="C206" s="68"/>
      <c r="D206" s="16"/>
      <c r="E206" s="16"/>
      <c r="F206" s="16"/>
      <c r="G206" s="16"/>
      <c r="H206" s="16"/>
      <c r="I206" s="16"/>
      <c r="J206" s="36"/>
      <c r="K206" s="36"/>
      <c r="L206" s="36"/>
      <c r="M206" s="51"/>
      <c r="N206" s="34"/>
      <c r="O206" s="81"/>
      <c r="P206" s="81"/>
      <c r="Q206" s="81"/>
      <c r="R206" s="81">
        <f t="shared" si="85"/>
        <v>0</v>
      </c>
      <c r="S206" s="81"/>
      <c r="T206" s="81"/>
      <c r="U206" s="81">
        <f t="shared" si="86"/>
        <v>0</v>
      </c>
      <c r="V206" s="81">
        <f t="shared" si="87"/>
        <v>0</v>
      </c>
      <c r="W206" s="81">
        <f t="shared" ref="W206:W239" si="98">R206-U206</f>
        <v>0</v>
      </c>
      <c r="X206" s="81">
        <f t="shared" si="88"/>
        <v>0</v>
      </c>
      <c r="Y206" s="207"/>
    </row>
    <row r="207" spans="1:25" s="3" customFormat="1" ht="42" customHeight="1">
      <c r="A207" s="56">
        <v>7</v>
      </c>
      <c r="B207" s="109" t="s">
        <v>19</v>
      </c>
      <c r="C207" s="109" t="s">
        <v>30</v>
      </c>
      <c r="D207" s="57"/>
      <c r="E207" s="57"/>
      <c r="F207" s="57"/>
      <c r="G207" s="57"/>
      <c r="H207" s="57"/>
      <c r="I207" s="57"/>
      <c r="J207" s="57"/>
      <c r="K207" s="57"/>
      <c r="L207" s="57"/>
      <c r="M207" s="75"/>
      <c r="N207" s="127" t="s">
        <v>121</v>
      </c>
      <c r="O207" s="76">
        <f>O209+O261</f>
        <v>2814103200</v>
      </c>
      <c r="P207" s="76">
        <f t="shared" ref="P207:V207" si="99">P209+P261</f>
        <v>2184848530</v>
      </c>
      <c r="Q207" s="76">
        <f t="shared" si="99"/>
        <v>442571051</v>
      </c>
      <c r="R207" s="76">
        <f t="shared" si="99"/>
        <v>2627419581</v>
      </c>
      <c r="S207" s="76">
        <f t="shared" si="99"/>
        <v>2267492080</v>
      </c>
      <c r="T207" s="76">
        <f t="shared" si="99"/>
        <v>484742301</v>
      </c>
      <c r="U207" s="76">
        <f t="shared" si="99"/>
        <v>2752234381</v>
      </c>
      <c r="V207" s="76">
        <f t="shared" si="99"/>
        <v>61868819</v>
      </c>
      <c r="W207" s="160"/>
      <c r="X207" s="160">
        <f t="shared" si="88"/>
        <v>-124814800</v>
      </c>
      <c r="Y207" s="210">
        <f t="shared" si="90"/>
        <v>0.97801472987913163</v>
      </c>
    </row>
    <row r="208" spans="1:25" s="3" customFormat="1" ht="25" customHeight="1">
      <c r="A208" s="60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79"/>
      <c r="N208" s="125"/>
      <c r="O208" s="23"/>
      <c r="P208" s="81"/>
      <c r="Q208" s="81"/>
      <c r="R208" s="81">
        <f t="shared" si="85"/>
        <v>0</v>
      </c>
      <c r="S208" s="81"/>
      <c r="T208" s="81"/>
      <c r="U208" s="81">
        <f t="shared" si="86"/>
        <v>0</v>
      </c>
      <c r="V208" s="81">
        <f t="shared" si="87"/>
        <v>0</v>
      </c>
      <c r="W208" s="81">
        <f t="shared" si="98"/>
        <v>0</v>
      </c>
      <c r="X208" s="81">
        <f t="shared" si="88"/>
        <v>0</v>
      </c>
      <c r="Y208" s="207"/>
    </row>
    <row r="209" spans="1:29" s="3" customFormat="1" ht="25" customHeight="1">
      <c r="A209" s="58">
        <v>7</v>
      </c>
      <c r="B209" s="110" t="s">
        <v>19</v>
      </c>
      <c r="C209" s="110" t="s">
        <v>30</v>
      </c>
      <c r="D209" s="110" t="s">
        <v>64</v>
      </c>
      <c r="E209" s="110" t="s">
        <v>22</v>
      </c>
      <c r="F209" s="59"/>
      <c r="G209" s="59"/>
      <c r="H209" s="59"/>
      <c r="I209" s="59"/>
      <c r="J209" s="59"/>
      <c r="K209" s="59"/>
      <c r="L209" s="59"/>
      <c r="M209" s="77"/>
      <c r="N209" s="25" t="s">
        <v>122</v>
      </c>
      <c r="O209" s="78">
        <f>O211+O229</f>
        <v>645362200</v>
      </c>
      <c r="P209" s="92">
        <f>P211+P229</f>
        <v>382843280</v>
      </c>
      <c r="Q209" s="92">
        <f>Q211+Q229</f>
        <v>183637301</v>
      </c>
      <c r="R209" s="163">
        <f>P209+Q209</f>
        <v>566480581</v>
      </c>
      <c r="S209" s="92">
        <f>S211+S229</f>
        <v>465486830</v>
      </c>
      <c r="T209" s="92">
        <f>T211+T229</f>
        <v>123808551</v>
      </c>
      <c r="U209" s="163">
        <f t="shared" si="86"/>
        <v>589295381</v>
      </c>
      <c r="V209" s="163">
        <f t="shared" si="87"/>
        <v>56066819</v>
      </c>
      <c r="W209" s="163"/>
      <c r="X209" s="163">
        <f t="shared" si="88"/>
        <v>-22814800</v>
      </c>
      <c r="Y209" s="211">
        <f t="shared" si="90"/>
        <v>0.91312348476560912</v>
      </c>
    </row>
    <row r="210" spans="1:29" s="3" customFormat="1" ht="25" customHeight="1">
      <c r="A210" s="60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79"/>
      <c r="N210" s="125"/>
      <c r="O210" s="23"/>
      <c r="P210" s="121"/>
      <c r="Q210" s="121"/>
      <c r="R210" s="82"/>
      <c r="S210" s="121"/>
      <c r="T210" s="121"/>
      <c r="U210" s="82"/>
      <c r="V210" s="82"/>
      <c r="W210" s="82"/>
      <c r="X210" s="82"/>
      <c r="Y210" s="209"/>
    </row>
    <row r="211" spans="1:29" s="3" customFormat="1" ht="79.5" customHeight="1">
      <c r="A211" s="62">
        <v>7</v>
      </c>
      <c r="B211" s="111" t="s">
        <v>19</v>
      </c>
      <c r="C211" s="111" t="s">
        <v>30</v>
      </c>
      <c r="D211" s="14">
        <v>2</v>
      </c>
      <c r="E211" s="112" t="s">
        <v>22</v>
      </c>
      <c r="F211" s="112" t="s">
        <v>19</v>
      </c>
      <c r="G211" s="64"/>
      <c r="H211" s="64"/>
      <c r="I211" s="64"/>
      <c r="J211" s="64"/>
      <c r="K211" s="64"/>
      <c r="L211" s="64"/>
      <c r="M211" s="80"/>
      <c r="N211" s="41" t="s">
        <v>266</v>
      </c>
      <c r="O211" s="32">
        <f>O212</f>
        <v>121181400</v>
      </c>
      <c r="P211" s="165">
        <f>P212</f>
        <v>116954400</v>
      </c>
      <c r="Q211" s="165">
        <f>Q212</f>
        <v>0</v>
      </c>
      <c r="R211" s="165">
        <f t="shared" si="85"/>
        <v>116954400</v>
      </c>
      <c r="S211" s="165">
        <f>S212</f>
        <v>116954400</v>
      </c>
      <c r="T211" s="165">
        <f>T212</f>
        <v>-255000</v>
      </c>
      <c r="U211" s="165">
        <f t="shared" si="86"/>
        <v>116699400</v>
      </c>
      <c r="V211" s="165">
        <f t="shared" si="87"/>
        <v>4482000</v>
      </c>
      <c r="W211" s="165"/>
      <c r="X211" s="165">
        <f t="shared" si="88"/>
        <v>255000</v>
      </c>
      <c r="Y211" s="213">
        <f t="shared" si="90"/>
        <v>0.96301412593021707</v>
      </c>
    </row>
    <row r="212" spans="1:29" s="3" customFormat="1" ht="39.75" customHeight="1">
      <c r="A212" s="65">
        <v>7</v>
      </c>
      <c r="B212" s="113" t="s">
        <v>19</v>
      </c>
      <c r="C212" s="113" t="s">
        <v>30</v>
      </c>
      <c r="D212" s="12">
        <v>2</v>
      </c>
      <c r="E212" s="115" t="s">
        <v>22</v>
      </c>
      <c r="F212" s="115" t="s">
        <v>19</v>
      </c>
      <c r="G212" s="69">
        <v>5</v>
      </c>
      <c r="H212" s="69">
        <v>1</v>
      </c>
      <c r="I212" s="115" t="s">
        <v>22</v>
      </c>
      <c r="J212" s="70"/>
      <c r="K212" s="70"/>
      <c r="L212" s="70"/>
      <c r="M212" s="83"/>
      <c r="N212" s="53" t="s">
        <v>123</v>
      </c>
      <c r="O212" s="82">
        <f>O213+O221</f>
        <v>121181400</v>
      </c>
      <c r="P212" s="82">
        <f>P213+P221</f>
        <v>116954400</v>
      </c>
      <c r="Q212" s="82">
        <f>Q213+Q221</f>
        <v>0</v>
      </c>
      <c r="R212" s="82">
        <f t="shared" si="85"/>
        <v>116954400</v>
      </c>
      <c r="S212" s="82">
        <f>S213+S221</f>
        <v>116954400</v>
      </c>
      <c r="T212" s="82">
        <f>T213+T221</f>
        <v>-255000</v>
      </c>
      <c r="U212" s="82">
        <f t="shared" si="86"/>
        <v>116699400</v>
      </c>
      <c r="V212" s="82">
        <f t="shared" si="87"/>
        <v>4482000</v>
      </c>
      <c r="W212" s="82"/>
      <c r="X212" s="82">
        <f t="shared" si="88"/>
        <v>255000</v>
      </c>
      <c r="Y212" s="209">
        <f t="shared" si="90"/>
        <v>0.96301412593021707</v>
      </c>
    </row>
    <row r="213" spans="1:29" s="3" customFormat="1" ht="39.75" customHeight="1">
      <c r="A213" s="65">
        <v>7</v>
      </c>
      <c r="B213" s="113" t="s">
        <v>19</v>
      </c>
      <c r="C213" s="113" t="s">
        <v>30</v>
      </c>
      <c r="D213" s="12">
        <v>2</v>
      </c>
      <c r="E213" s="115" t="s">
        <v>22</v>
      </c>
      <c r="F213" s="115" t="s">
        <v>19</v>
      </c>
      <c r="G213" s="69">
        <v>5</v>
      </c>
      <c r="H213" s="69">
        <v>1</v>
      </c>
      <c r="I213" s="115" t="s">
        <v>22</v>
      </c>
      <c r="J213" s="107" t="s">
        <v>19</v>
      </c>
      <c r="K213" s="36"/>
      <c r="L213" s="36"/>
      <c r="M213" s="51"/>
      <c r="N213" s="53" t="s">
        <v>50</v>
      </c>
      <c r="O213" s="82">
        <f>O214</f>
        <v>66801400</v>
      </c>
      <c r="P213" s="82">
        <f>P214</f>
        <v>62574400</v>
      </c>
      <c r="Q213" s="82">
        <f>Q214</f>
        <v>0</v>
      </c>
      <c r="R213" s="82">
        <f t="shared" si="85"/>
        <v>62574400</v>
      </c>
      <c r="S213" s="82">
        <f>S214</f>
        <v>62574400</v>
      </c>
      <c r="T213" s="82">
        <f>T214</f>
        <v>-255000</v>
      </c>
      <c r="U213" s="82">
        <f t="shared" si="86"/>
        <v>62319400</v>
      </c>
      <c r="V213" s="82">
        <f t="shared" si="87"/>
        <v>4482000</v>
      </c>
      <c r="W213" s="82"/>
      <c r="X213" s="82">
        <f t="shared" si="88"/>
        <v>255000</v>
      </c>
      <c r="Y213" s="209">
        <f t="shared" si="90"/>
        <v>0.93290559778687276</v>
      </c>
    </row>
    <row r="214" spans="1:29" s="3" customFormat="1" ht="39.75" customHeight="1">
      <c r="A214" s="65">
        <v>7</v>
      </c>
      <c r="B214" s="113" t="s">
        <v>19</v>
      </c>
      <c r="C214" s="113" t="s">
        <v>30</v>
      </c>
      <c r="D214" s="12">
        <v>2</v>
      </c>
      <c r="E214" s="115" t="s">
        <v>22</v>
      </c>
      <c r="F214" s="115" t="s">
        <v>19</v>
      </c>
      <c r="G214" s="69">
        <v>5</v>
      </c>
      <c r="H214" s="69">
        <v>1</v>
      </c>
      <c r="I214" s="115" t="s">
        <v>22</v>
      </c>
      <c r="J214" s="107" t="s">
        <v>19</v>
      </c>
      <c r="K214" s="107" t="s">
        <v>19</v>
      </c>
      <c r="L214" s="50"/>
      <c r="M214" s="52"/>
      <c r="N214" s="53" t="s">
        <v>51</v>
      </c>
      <c r="O214" s="82">
        <f>SUM(O215:O220)</f>
        <v>66801400</v>
      </c>
      <c r="P214" s="82">
        <f>SUM(P215:P220)</f>
        <v>62574400</v>
      </c>
      <c r="Q214" s="82">
        <f>SUM(Q215:Q220)</f>
        <v>0</v>
      </c>
      <c r="R214" s="82">
        <f t="shared" si="85"/>
        <v>62574400</v>
      </c>
      <c r="S214" s="82">
        <f>SUM(S215:S220)</f>
        <v>62574400</v>
      </c>
      <c r="T214" s="82">
        <f>SUM(T215:T220)</f>
        <v>-255000</v>
      </c>
      <c r="U214" s="82">
        <f t="shared" si="86"/>
        <v>62319400</v>
      </c>
      <c r="V214" s="82">
        <f t="shared" si="87"/>
        <v>4482000</v>
      </c>
      <c r="W214" s="82"/>
      <c r="X214" s="82">
        <f t="shared" si="88"/>
        <v>255000</v>
      </c>
      <c r="Y214" s="209">
        <f t="shared" si="90"/>
        <v>0.93290559778687276</v>
      </c>
    </row>
    <row r="215" spans="1:29" s="3" customFormat="1" ht="39.75" customHeight="1">
      <c r="A215" s="67">
        <v>7</v>
      </c>
      <c r="B215" s="114" t="s">
        <v>19</v>
      </c>
      <c r="C215" s="114" t="s">
        <v>30</v>
      </c>
      <c r="D215" s="16">
        <v>2</v>
      </c>
      <c r="E215" s="116" t="s">
        <v>22</v>
      </c>
      <c r="F215" s="116" t="s">
        <v>19</v>
      </c>
      <c r="G215" s="70">
        <v>5</v>
      </c>
      <c r="H215" s="70">
        <v>1</v>
      </c>
      <c r="I215" s="116" t="s">
        <v>22</v>
      </c>
      <c r="J215" s="106" t="s">
        <v>19</v>
      </c>
      <c r="K215" s="106" t="s">
        <v>19</v>
      </c>
      <c r="L215" s="106" t="s">
        <v>56</v>
      </c>
      <c r="M215" s="51">
        <v>4</v>
      </c>
      <c r="N215" s="34" t="s">
        <v>57</v>
      </c>
      <c r="O215" s="81">
        <f>'SPJ FUNGSIONAL '!O221</f>
        <v>10254000</v>
      </c>
      <c r="P215" s="81">
        <f t="shared" ref="P215:P220" si="100">S215</f>
        <v>10148000</v>
      </c>
      <c r="Q215" s="81">
        <f t="shared" ref="Q215:Q220" si="101">T215</f>
        <v>0</v>
      </c>
      <c r="R215" s="81">
        <f t="shared" si="85"/>
        <v>10148000</v>
      </c>
      <c r="S215" s="81">
        <f>'SPJ FUNGSIONAL '!V221</f>
        <v>10148000</v>
      </c>
      <c r="T215" s="81">
        <f>'SPJ FUNGSIONAL '!W221</f>
        <v>0</v>
      </c>
      <c r="U215" s="81">
        <f t="shared" si="86"/>
        <v>10148000</v>
      </c>
      <c r="V215" s="81">
        <f t="shared" si="87"/>
        <v>106000</v>
      </c>
      <c r="W215" s="81"/>
      <c r="X215" s="81">
        <f t="shared" si="88"/>
        <v>0</v>
      </c>
      <c r="Y215" s="207">
        <f t="shared" si="90"/>
        <v>0.98966257070411545</v>
      </c>
    </row>
    <row r="216" spans="1:29" s="3" customFormat="1" ht="39.75" customHeight="1">
      <c r="A216" s="67">
        <v>7</v>
      </c>
      <c r="B216" s="114" t="s">
        <v>19</v>
      </c>
      <c r="C216" s="114" t="s">
        <v>30</v>
      </c>
      <c r="D216" s="16">
        <v>2</v>
      </c>
      <c r="E216" s="116" t="s">
        <v>22</v>
      </c>
      <c r="F216" s="116" t="s">
        <v>19</v>
      </c>
      <c r="G216" s="70">
        <v>5</v>
      </c>
      <c r="H216" s="70">
        <v>1</v>
      </c>
      <c r="I216" s="116" t="s">
        <v>22</v>
      </c>
      <c r="J216" s="106" t="s">
        <v>19</v>
      </c>
      <c r="K216" s="106" t="s">
        <v>19</v>
      </c>
      <c r="L216" s="106" t="s">
        <v>56</v>
      </c>
      <c r="M216" s="108" t="s">
        <v>12</v>
      </c>
      <c r="N216" s="39" t="s">
        <v>58</v>
      </c>
      <c r="O216" s="81">
        <f>'SPJ FUNGSIONAL '!O222</f>
        <v>767000</v>
      </c>
      <c r="P216" s="81">
        <f t="shared" si="100"/>
        <v>739000</v>
      </c>
      <c r="Q216" s="81">
        <f t="shared" si="101"/>
        <v>0</v>
      </c>
      <c r="R216" s="81">
        <f t="shared" si="85"/>
        <v>739000</v>
      </c>
      <c r="S216" s="81">
        <f>'SPJ FUNGSIONAL '!V222</f>
        <v>739000</v>
      </c>
      <c r="T216" s="81">
        <f>'SPJ FUNGSIONAL '!W222</f>
        <v>0</v>
      </c>
      <c r="U216" s="81">
        <f t="shared" si="86"/>
        <v>739000</v>
      </c>
      <c r="V216" s="81">
        <f t="shared" si="87"/>
        <v>28000</v>
      </c>
      <c r="W216" s="81">
        <f t="shared" si="98"/>
        <v>0</v>
      </c>
      <c r="X216" s="81">
        <f t="shared" si="88"/>
        <v>0</v>
      </c>
      <c r="Y216" s="207">
        <f t="shared" si="90"/>
        <v>0.96349413298565845</v>
      </c>
    </row>
    <row r="217" spans="1:29" s="3" customFormat="1" ht="39.75" customHeight="1">
      <c r="A217" s="67">
        <v>7</v>
      </c>
      <c r="B217" s="114" t="s">
        <v>19</v>
      </c>
      <c r="C217" s="114" t="s">
        <v>30</v>
      </c>
      <c r="D217" s="16">
        <v>2</v>
      </c>
      <c r="E217" s="116" t="s">
        <v>22</v>
      </c>
      <c r="F217" s="116" t="s">
        <v>19</v>
      </c>
      <c r="G217" s="70">
        <v>5</v>
      </c>
      <c r="H217" s="70">
        <v>1</v>
      </c>
      <c r="I217" s="116" t="s">
        <v>22</v>
      </c>
      <c r="J217" s="106" t="s">
        <v>19</v>
      </c>
      <c r="K217" s="106" t="s">
        <v>19</v>
      </c>
      <c r="L217" s="106" t="s">
        <v>56</v>
      </c>
      <c r="M217" s="51">
        <v>6</v>
      </c>
      <c r="N217" s="34" t="s">
        <v>124</v>
      </c>
      <c r="O217" s="81">
        <f>'SPJ FUNGSIONAL '!O223</f>
        <v>5953400</v>
      </c>
      <c r="P217" s="81">
        <f t="shared" si="100"/>
        <v>4919550</v>
      </c>
      <c r="Q217" s="81">
        <v>0</v>
      </c>
      <c r="R217" s="81">
        <f t="shared" si="85"/>
        <v>4919550</v>
      </c>
      <c r="S217" s="81">
        <f>'SPJ FUNGSIONAL '!V223</f>
        <v>4919550</v>
      </c>
      <c r="T217" s="193">
        <f>'SPJ FUNGSIONAL '!W223</f>
        <v>-255000</v>
      </c>
      <c r="U217" s="81">
        <f t="shared" si="86"/>
        <v>4664550</v>
      </c>
      <c r="V217" s="81">
        <f t="shared" si="87"/>
        <v>1288850</v>
      </c>
      <c r="W217" s="81"/>
      <c r="X217" s="81">
        <f t="shared" si="88"/>
        <v>255000</v>
      </c>
      <c r="Y217" s="207">
        <f t="shared" si="90"/>
        <v>0.783510263042967</v>
      </c>
    </row>
    <row r="218" spans="1:29" s="3" customFormat="1" ht="39.75" customHeight="1">
      <c r="A218" s="67">
        <v>7</v>
      </c>
      <c r="B218" s="114" t="s">
        <v>19</v>
      </c>
      <c r="C218" s="114" t="s">
        <v>30</v>
      </c>
      <c r="D218" s="16">
        <v>2</v>
      </c>
      <c r="E218" s="116" t="s">
        <v>22</v>
      </c>
      <c r="F218" s="116" t="s">
        <v>19</v>
      </c>
      <c r="G218" s="70">
        <v>5</v>
      </c>
      <c r="H218" s="70">
        <v>1</v>
      </c>
      <c r="I218" s="116" t="s">
        <v>22</v>
      </c>
      <c r="J218" s="106" t="s">
        <v>19</v>
      </c>
      <c r="K218" s="106" t="s">
        <v>19</v>
      </c>
      <c r="L218" s="106" t="s">
        <v>56</v>
      </c>
      <c r="M218" s="51">
        <v>9</v>
      </c>
      <c r="N218" s="39" t="s">
        <v>125</v>
      </c>
      <c r="O218" s="81">
        <f>'SPJ FUNGSIONAL '!O224</f>
        <v>632000</v>
      </c>
      <c r="P218" s="81">
        <f t="shared" si="100"/>
        <v>632000</v>
      </c>
      <c r="Q218" s="81">
        <f t="shared" si="101"/>
        <v>0</v>
      </c>
      <c r="R218" s="81">
        <f t="shared" si="85"/>
        <v>632000</v>
      </c>
      <c r="S218" s="81">
        <f>'SPJ FUNGSIONAL '!V224</f>
        <v>632000</v>
      </c>
      <c r="T218" s="81">
        <f>'SPJ FUNGSIONAL '!W224</f>
        <v>0</v>
      </c>
      <c r="U218" s="81">
        <f t="shared" si="86"/>
        <v>632000</v>
      </c>
      <c r="V218" s="81">
        <f t="shared" si="87"/>
        <v>0</v>
      </c>
      <c r="W218" s="81">
        <f t="shared" si="98"/>
        <v>0</v>
      </c>
      <c r="X218" s="81">
        <f t="shared" si="88"/>
        <v>0</v>
      </c>
      <c r="Y218" s="207">
        <f t="shared" si="90"/>
        <v>1</v>
      </c>
    </row>
    <row r="219" spans="1:29" s="3" customFormat="1" ht="39.75" customHeight="1">
      <c r="A219" s="67">
        <v>7</v>
      </c>
      <c r="B219" s="114" t="s">
        <v>19</v>
      </c>
      <c r="C219" s="114" t="s">
        <v>30</v>
      </c>
      <c r="D219" s="16">
        <v>2</v>
      </c>
      <c r="E219" s="116" t="s">
        <v>22</v>
      </c>
      <c r="F219" s="116" t="s">
        <v>19</v>
      </c>
      <c r="G219" s="70">
        <v>5</v>
      </c>
      <c r="H219" s="70">
        <v>1</v>
      </c>
      <c r="I219" s="116" t="s">
        <v>22</v>
      </c>
      <c r="J219" s="106" t="s">
        <v>19</v>
      </c>
      <c r="K219" s="106" t="s">
        <v>19</v>
      </c>
      <c r="L219" s="106" t="s">
        <v>66</v>
      </c>
      <c r="M219" s="51">
        <v>2</v>
      </c>
      <c r="N219" s="34" t="s">
        <v>126</v>
      </c>
      <c r="O219" s="81">
        <f>'SPJ FUNGSIONAL '!O225</f>
        <v>10175000</v>
      </c>
      <c r="P219" s="81">
        <f t="shared" si="100"/>
        <v>9257850</v>
      </c>
      <c r="Q219" s="81">
        <f t="shared" si="101"/>
        <v>0</v>
      </c>
      <c r="R219" s="81">
        <f t="shared" si="85"/>
        <v>9257850</v>
      </c>
      <c r="S219" s="81">
        <f>'SPJ FUNGSIONAL '!V225</f>
        <v>9257850</v>
      </c>
      <c r="T219" s="81">
        <f>'SPJ FUNGSIONAL '!W225</f>
        <v>0</v>
      </c>
      <c r="U219" s="81">
        <f t="shared" si="86"/>
        <v>9257850</v>
      </c>
      <c r="V219" s="81">
        <f t="shared" si="87"/>
        <v>917150</v>
      </c>
      <c r="W219" s="81"/>
      <c r="X219" s="81">
        <f t="shared" si="88"/>
        <v>0</v>
      </c>
      <c r="Y219" s="207">
        <f t="shared" si="90"/>
        <v>0.90986240786240791</v>
      </c>
    </row>
    <row r="220" spans="1:29" s="3" customFormat="1" ht="39.75" customHeight="1">
      <c r="A220" s="67">
        <v>7</v>
      </c>
      <c r="B220" s="114" t="s">
        <v>19</v>
      </c>
      <c r="C220" s="114" t="s">
        <v>30</v>
      </c>
      <c r="D220" s="16">
        <v>2</v>
      </c>
      <c r="E220" s="116" t="s">
        <v>22</v>
      </c>
      <c r="F220" s="116" t="s">
        <v>19</v>
      </c>
      <c r="G220" s="70">
        <v>5</v>
      </c>
      <c r="H220" s="70">
        <v>1</v>
      </c>
      <c r="I220" s="116" t="s">
        <v>22</v>
      </c>
      <c r="J220" s="106" t="s">
        <v>19</v>
      </c>
      <c r="K220" s="106" t="s">
        <v>19</v>
      </c>
      <c r="L220" s="106" t="s">
        <v>66</v>
      </c>
      <c r="M220" s="51">
        <v>8</v>
      </c>
      <c r="N220" s="34" t="s">
        <v>127</v>
      </c>
      <c r="O220" s="81">
        <f>'SPJ FUNGSIONAL '!O226</f>
        <v>39020000</v>
      </c>
      <c r="P220" s="81">
        <f t="shared" si="100"/>
        <v>36878000</v>
      </c>
      <c r="Q220" s="81">
        <f t="shared" si="101"/>
        <v>0</v>
      </c>
      <c r="R220" s="81">
        <f t="shared" si="85"/>
        <v>36878000</v>
      </c>
      <c r="S220" s="81">
        <f>'SPJ FUNGSIONAL '!V226</f>
        <v>36878000</v>
      </c>
      <c r="T220" s="81">
        <f>'SPJ FUNGSIONAL '!W226</f>
        <v>0</v>
      </c>
      <c r="U220" s="81">
        <f t="shared" si="86"/>
        <v>36878000</v>
      </c>
      <c r="V220" s="81">
        <f t="shared" si="87"/>
        <v>2142000</v>
      </c>
      <c r="W220" s="81"/>
      <c r="X220" s="81">
        <f t="shared" si="88"/>
        <v>0</v>
      </c>
      <c r="Y220" s="207">
        <f t="shared" si="90"/>
        <v>0.9451050743208611</v>
      </c>
    </row>
    <row r="221" spans="1:29" s="3" customFormat="1" ht="39.75" customHeight="1">
      <c r="A221" s="65">
        <v>7</v>
      </c>
      <c r="B221" s="113" t="s">
        <v>19</v>
      </c>
      <c r="C221" s="113" t="s">
        <v>30</v>
      </c>
      <c r="D221" s="12">
        <v>2</v>
      </c>
      <c r="E221" s="115" t="s">
        <v>22</v>
      </c>
      <c r="F221" s="115" t="s">
        <v>19</v>
      </c>
      <c r="G221" s="69">
        <v>5</v>
      </c>
      <c r="H221" s="69">
        <v>1</v>
      </c>
      <c r="I221" s="115" t="s">
        <v>22</v>
      </c>
      <c r="J221" s="107" t="s">
        <v>22</v>
      </c>
      <c r="K221" s="36"/>
      <c r="L221" s="36"/>
      <c r="M221" s="51"/>
      <c r="N221" s="53" t="s">
        <v>75</v>
      </c>
      <c r="O221" s="82">
        <f>O222+O226</f>
        <v>54380000</v>
      </c>
      <c r="P221" s="82">
        <f>P222</f>
        <v>54380000</v>
      </c>
      <c r="Q221" s="82">
        <f>Q222</f>
        <v>0</v>
      </c>
      <c r="R221" s="82">
        <f>P221+Q221</f>
        <v>54380000</v>
      </c>
      <c r="S221" s="82">
        <f>S222</f>
        <v>54380000</v>
      </c>
      <c r="T221" s="82">
        <f>T222</f>
        <v>0</v>
      </c>
      <c r="U221" s="82">
        <f t="shared" si="86"/>
        <v>54380000</v>
      </c>
      <c r="V221" s="82">
        <f t="shared" si="87"/>
        <v>0</v>
      </c>
      <c r="W221" s="82"/>
      <c r="X221" s="82">
        <f t="shared" si="88"/>
        <v>0</v>
      </c>
      <c r="Y221" s="209">
        <f t="shared" si="90"/>
        <v>1</v>
      </c>
    </row>
    <row r="222" spans="1:29" s="3" customFormat="1" ht="39.75" customHeight="1">
      <c r="A222" s="65">
        <v>7</v>
      </c>
      <c r="B222" s="113" t="s">
        <v>19</v>
      </c>
      <c r="C222" s="113" t="s">
        <v>30</v>
      </c>
      <c r="D222" s="12">
        <v>2</v>
      </c>
      <c r="E222" s="115" t="s">
        <v>22</v>
      </c>
      <c r="F222" s="115" t="s">
        <v>19</v>
      </c>
      <c r="G222" s="69">
        <v>5</v>
      </c>
      <c r="H222" s="69">
        <v>1</v>
      </c>
      <c r="I222" s="115" t="s">
        <v>22</v>
      </c>
      <c r="J222" s="107" t="s">
        <v>22</v>
      </c>
      <c r="K222" s="107" t="s">
        <v>19</v>
      </c>
      <c r="L222" s="50"/>
      <c r="M222" s="52"/>
      <c r="N222" s="53" t="s">
        <v>114</v>
      </c>
      <c r="O222" s="82">
        <f>SUM(O223:O225)</f>
        <v>54380000</v>
      </c>
      <c r="P222" s="82">
        <f>SUM(P223:P225)</f>
        <v>54380000</v>
      </c>
      <c r="Q222" s="82">
        <f>SUM(Q223:Q225)</f>
        <v>0</v>
      </c>
      <c r="R222" s="82">
        <f>P222+Q222</f>
        <v>54380000</v>
      </c>
      <c r="S222" s="82">
        <f>SUM(S223:S225)</f>
        <v>54380000</v>
      </c>
      <c r="T222" s="82">
        <f>SUM(T223:T225)</f>
        <v>0</v>
      </c>
      <c r="U222" s="82">
        <f>S222+T222</f>
        <v>54380000</v>
      </c>
      <c r="V222" s="82">
        <f t="shared" si="87"/>
        <v>0</v>
      </c>
      <c r="W222" s="82"/>
      <c r="X222" s="82">
        <f t="shared" si="88"/>
        <v>0</v>
      </c>
      <c r="Y222" s="209">
        <f t="shared" si="90"/>
        <v>1</v>
      </c>
    </row>
    <row r="223" spans="1:29" s="3" customFormat="1" ht="39.75" customHeight="1">
      <c r="A223" s="67">
        <v>7</v>
      </c>
      <c r="B223" s="114" t="s">
        <v>19</v>
      </c>
      <c r="C223" s="114" t="s">
        <v>30</v>
      </c>
      <c r="D223" s="16">
        <v>2</v>
      </c>
      <c r="E223" s="105" t="s">
        <v>22</v>
      </c>
      <c r="F223" s="105" t="s">
        <v>19</v>
      </c>
      <c r="G223" s="16">
        <v>5</v>
      </c>
      <c r="H223" s="16">
        <v>1</v>
      </c>
      <c r="I223" s="105" t="s">
        <v>22</v>
      </c>
      <c r="J223" s="106" t="s">
        <v>22</v>
      </c>
      <c r="K223" s="106" t="s">
        <v>19</v>
      </c>
      <c r="L223" s="106" t="s">
        <v>27</v>
      </c>
      <c r="M223" s="51">
        <v>3</v>
      </c>
      <c r="N223" s="39" t="s">
        <v>115</v>
      </c>
      <c r="O223" s="81">
        <f>'SPJ FUNGSIONAL '!O229</f>
        <v>1500000</v>
      </c>
      <c r="P223" s="81">
        <f t="shared" ref="P223:Q225" si="102">S223</f>
        <v>1500000</v>
      </c>
      <c r="Q223" s="81">
        <f t="shared" si="102"/>
        <v>0</v>
      </c>
      <c r="R223" s="81">
        <f t="shared" si="85"/>
        <v>1500000</v>
      </c>
      <c r="S223" s="81">
        <f>'SPJ FUNGSIONAL '!V229</f>
        <v>1500000</v>
      </c>
      <c r="T223" s="81">
        <f>'SPJ FUNGSIONAL '!W229</f>
        <v>0</v>
      </c>
      <c r="U223" s="81">
        <f t="shared" si="86"/>
        <v>1500000</v>
      </c>
      <c r="V223" s="81">
        <f t="shared" si="87"/>
        <v>0</v>
      </c>
      <c r="W223" s="81"/>
      <c r="X223" s="81">
        <f t="shared" si="88"/>
        <v>0</v>
      </c>
      <c r="Y223" s="207">
        <f t="shared" si="90"/>
        <v>1</v>
      </c>
    </row>
    <row r="224" spans="1:29" s="3" customFormat="1" ht="39.75" customHeight="1">
      <c r="A224" s="384">
        <v>7</v>
      </c>
      <c r="B224" s="385" t="s">
        <v>19</v>
      </c>
      <c r="C224" s="385" t="s">
        <v>30</v>
      </c>
      <c r="D224" s="307">
        <v>2</v>
      </c>
      <c r="E224" s="306" t="s">
        <v>22</v>
      </c>
      <c r="F224" s="306" t="s">
        <v>19</v>
      </c>
      <c r="G224" s="307">
        <v>5</v>
      </c>
      <c r="H224" s="307">
        <v>1</v>
      </c>
      <c r="I224" s="306" t="s">
        <v>22</v>
      </c>
      <c r="J224" s="314" t="s">
        <v>22</v>
      </c>
      <c r="K224" s="314" t="s">
        <v>19</v>
      </c>
      <c r="L224" s="314" t="s">
        <v>27</v>
      </c>
      <c r="M224" s="326">
        <v>4</v>
      </c>
      <c r="N224" s="318" t="s">
        <v>262</v>
      </c>
      <c r="O224" s="81">
        <f>'SPJ FUNGSIONAL '!O230</f>
        <v>880000</v>
      </c>
      <c r="P224" s="81">
        <f t="shared" si="102"/>
        <v>880000</v>
      </c>
      <c r="Q224" s="81">
        <f t="shared" si="102"/>
        <v>0</v>
      </c>
      <c r="R224" s="81">
        <f>SUM(P224:Q224)</f>
        <v>880000</v>
      </c>
      <c r="S224" s="81">
        <f>'SPJ FUNGSIONAL '!X230</f>
        <v>880000</v>
      </c>
      <c r="T224" s="81">
        <f>'SPJ FUNGSIONAL '!W230</f>
        <v>0</v>
      </c>
      <c r="U224" s="81">
        <f>SUM(S224:T224)</f>
        <v>880000</v>
      </c>
      <c r="V224" s="81">
        <f t="shared" si="87"/>
        <v>0</v>
      </c>
      <c r="W224" s="81"/>
      <c r="X224" s="81">
        <f t="shared" si="88"/>
        <v>0</v>
      </c>
      <c r="Y224" s="207">
        <f t="shared" si="90"/>
        <v>1</v>
      </c>
      <c r="AC224" s="3">
        <v>18241476156</v>
      </c>
    </row>
    <row r="225" spans="1:29" s="3" customFormat="1" ht="39.75" customHeight="1">
      <c r="A225" s="384">
        <v>7</v>
      </c>
      <c r="B225" s="385" t="s">
        <v>19</v>
      </c>
      <c r="C225" s="385" t="s">
        <v>30</v>
      </c>
      <c r="D225" s="307">
        <v>2</v>
      </c>
      <c r="E225" s="306" t="s">
        <v>22</v>
      </c>
      <c r="F225" s="306" t="s">
        <v>19</v>
      </c>
      <c r="G225" s="307">
        <v>5</v>
      </c>
      <c r="H225" s="307">
        <v>1</v>
      </c>
      <c r="I225" s="306" t="s">
        <v>22</v>
      </c>
      <c r="J225" s="314" t="s">
        <v>22</v>
      </c>
      <c r="K225" s="314" t="s">
        <v>19</v>
      </c>
      <c r="L225" s="314" t="s">
        <v>27</v>
      </c>
      <c r="M225" s="326">
        <v>6</v>
      </c>
      <c r="N225" s="318" t="s">
        <v>130</v>
      </c>
      <c r="O225" s="81">
        <f>'SPJ FUNGSIONAL '!O231</f>
        <v>52000000</v>
      </c>
      <c r="P225" s="81">
        <f t="shared" si="102"/>
        <v>52000000</v>
      </c>
      <c r="Q225" s="81">
        <f t="shared" si="102"/>
        <v>0</v>
      </c>
      <c r="R225" s="81">
        <f t="shared" si="85"/>
        <v>52000000</v>
      </c>
      <c r="S225" s="81">
        <f>'SPJ FUNGSIONAL '!V231</f>
        <v>52000000</v>
      </c>
      <c r="T225" s="81">
        <f>'SPJ FUNGSIONAL '!W231</f>
        <v>0</v>
      </c>
      <c r="U225" s="81">
        <f>SUM(S225:T225)</f>
        <v>52000000</v>
      </c>
      <c r="V225" s="81"/>
      <c r="W225" s="81"/>
      <c r="X225" s="81"/>
      <c r="Y225" s="207">
        <f t="shared" si="90"/>
        <v>1</v>
      </c>
      <c r="AC225" s="158">
        <f>R15</f>
        <v>18593156355</v>
      </c>
    </row>
    <row r="226" spans="1:29" s="159" customFormat="1" ht="39.75" customHeight="1">
      <c r="A226" s="379">
        <v>7</v>
      </c>
      <c r="B226" s="380" t="s">
        <v>19</v>
      </c>
      <c r="C226" s="380" t="s">
        <v>30</v>
      </c>
      <c r="D226" s="289">
        <v>2</v>
      </c>
      <c r="E226" s="396" t="s">
        <v>22</v>
      </c>
      <c r="F226" s="396" t="s">
        <v>19</v>
      </c>
      <c r="G226" s="397">
        <v>5</v>
      </c>
      <c r="H226" s="397">
        <v>1</v>
      </c>
      <c r="I226" s="396" t="s">
        <v>22</v>
      </c>
      <c r="J226" s="328" t="s">
        <v>22</v>
      </c>
      <c r="K226" s="328" t="s">
        <v>54</v>
      </c>
      <c r="L226" s="329"/>
      <c r="M226" s="330"/>
      <c r="N226" s="323" t="s">
        <v>263</v>
      </c>
      <c r="O226" s="87">
        <f>O227</f>
        <v>0</v>
      </c>
      <c r="P226" s="82">
        <f>P227</f>
        <v>0</v>
      </c>
      <c r="Q226" s="82"/>
      <c r="R226" s="82"/>
      <c r="S226" s="82"/>
      <c r="T226" s="82"/>
      <c r="U226" s="82"/>
      <c r="V226" s="82"/>
      <c r="W226" s="82"/>
      <c r="X226" s="82"/>
      <c r="Y226" s="209">
        <v>0</v>
      </c>
      <c r="AC226" s="524">
        <f>AC224-AC225</f>
        <v>-351680199</v>
      </c>
    </row>
    <row r="227" spans="1:29" s="3" customFormat="1" ht="39.75" customHeight="1">
      <c r="A227" s="384">
        <v>7</v>
      </c>
      <c r="B227" s="385" t="s">
        <v>19</v>
      </c>
      <c r="C227" s="385" t="s">
        <v>30</v>
      </c>
      <c r="D227" s="307">
        <v>2</v>
      </c>
      <c r="E227" s="400" t="s">
        <v>22</v>
      </c>
      <c r="F227" s="400" t="s">
        <v>19</v>
      </c>
      <c r="G227" s="398">
        <v>5</v>
      </c>
      <c r="H227" s="398">
        <v>1</v>
      </c>
      <c r="I227" s="400" t="s">
        <v>22</v>
      </c>
      <c r="J227" s="314" t="s">
        <v>22</v>
      </c>
      <c r="K227" s="314" t="s">
        <v>54</v>
      </c>
      <c r="L227" s="314" t="s">
        <v>100</v>
      </c>
      <c r="M227" s="326">
        <v>7</v>
      </c>
      <c r="N227" s="407" t="s">
        <v>264</v>
      </c>
      <c r="O227" s="84">
        <f>'SPJ FUNGSIONAL '!O233</f>
        <v>0</v>
      </c>
      <c r="P227" s="81">
        <f>'[2]LRA SP2D'!$U$226</f>
        <v>0</v>
      </c>
      <c r="Q227" s="81">
        <f>T227</f>
        <v>0</v>
      </c>
      <c r="R227" s="81">
        <f t="shared" si="85"/>
        <v>0</v>
      </c>
      <c r="S227" s="81">
        <f>'SPJ FUNGSIONAL '!V233</f>
        <v>0</v>
      </c>
      <c r="T227" s="81">
        <f>'SPJ FUNGSIONAL '!W233</f>
        <v>0</v>
      </c>
      <c r="U227" s="81">
        <f t="shared" si="86"/>
        <v>0</v>
      </c>
      <c r="V227" s="81">
        <f t="shared" si="87"/>
        <v>0</v>
      </c>
      <c r="W227" s="81"/>
      <c r="X227" s="81">
        <f t="shared" si="88"/>
        <v>0</v>
      </c>
      <c r="Y227" s="207">
        <v>0</v>
      </c>
    </row>
    <row r="228" spans="1:29" s="3" customFormat="1" ht="25" customHeight="1">
      <c r="A228" s="71"/>
      <c r="B228" s="72"/>
      <c r="C228" s="72"/>
      <c r="D228" s="16"/>
      <c r="E228" s="16"/>
      <c r="F228" s="16"/>
      <c r="G228" s="16"/>
      <c r="H228" s="16"/>
      <c r="I228" s="16"/>
      <c r="J228" s="36"/>
      <c r="K228" s="85"/>
      <c r="L228" s="85"/>
      <c r="M228" s="86"/>
      <c r="N228" s="128"/>
      <c r="O228" s="84">
        <f>524180800-O230</f>
        <v>0</v>
      </c>
      <c r="P228" s="81"/>
      <c r="Q228" s="81"/>
      <c r="R228" s="81"/>
      <c r="S228" s="81"/>
      <c r="T228" s="81"/>
      <c r="U228" s="81"/>
      <c r="V228" s="81"/>
      <c r="W228" s="81"/>
      <c r="X228" s="81"/>
      <c r="Y228" s="207"/>
    </row>
    <row r="229" spans="1:29" s="3" customFormat="1" ht="48.75" customHeight="1">
      <c r="A229" s="62">
        <v>7</v>
      </c>
      <c r="B229" s="111" t="s">
        <v>19</v>
      </c>
      <c r="C229" s="111" t="s">
        <v>30</v>
      </c>
      <c r="D229" s="14">
        <v>2</v>
      </c>
      <c r="E229" s="112" t="s">
        <v>22</v>
      </c>
      <c r="F229" s="112" t="s">
        <v>30</v>
      </c>
      <c r="G229" s="64"/>
      <c r="H229" s="64"/>
      <c r="I229" s="64"/>
      <c r="J229" s="64"/>
      <c r="K229" s="64"/>
      <c r="L229" s="64"/>
      <c r="M229" s="80"/>
      <c r="N229" s="321" t="s">
        <v>267</v>
      </c>
      <c r="O229" s="32">
        <f>O230</f>
        <v>524180800</v>
      </c>
      <c r="P229" s="32">
        <f>P230</f>
        <v>265888880</v>
      </c>
      <c r="Q229" s="32">
        <f t="shared" ref="Q229:V229" si="103">Q230</f>
        <v>183637301</v>
      </c>
      <c r="R229" s="32">
        <f t="shared" si="103"/>
        <v>449526181</v>
      </c>
      <c r="S229" s="32">
        <f t="shared" si="103"/>
        <v>348532430</v>
      </c>
      <c r="T229" s="32">
        <f t="shared" si="103"/>
        <v>124063551</v>
      </c>
      <c r="U229" s="32">
        <f t="shared" si="103"/>
        <v>472595981</v>
      </c>
      <c r="V229" s="32">
        <f t="shared" si="103"/>
        <v>51584819</v>
      </c>
      <c r="W229" s="165"/>
      <c r="X229" s="165">
        <f t="shared" si="88"/>
        <v>-23069800</v>
      </c>
      <c r="Y229" s="213">
        <f t="shared" si="90"/>
        <v>0.90158964426014843</v>
      </c>
    </row>
    <row r="230" spans="1:29" s="3" customFormat="1" ht="39.75" customHeight="1">
      <c r="A230" s="65">
        <v>7</v>
      </c>
      <c r="B230" s="113" t="s">
        <v>19</v>
      </c>
      <c r="C230" s="113" t="s">
        <v>30</v>
      </c>
      <c r="D230" s="12">
        <v>2</v>
      </c>
      <c r="E230" s="115" t="s">
        <v>22</v>
      </c>
      <c r="F230" s="115" t="s">
        <v>30</v>
      </c>
      <c r="G230" s="69">
        <v>5</v>
      </c>
      <c r="H230" s="69">
        <v>1</v>
      </c>
      <c r="I230" s="115" t="s">
        <v>22</v>
      </c>
      <c r="J230" s="16"/>
      <c r="K230" s="16"/>
      <c r="L230" s="16"/>
      <c r="M230" s="33"/>
      <c r="N230" s="53" t="s">
        <v>123</v>
      </c>
      <c r="O230" s="87">
        <f>O231+O243+O250+O253+O257</f>
        <v>524180800</v>
      </c>
      <c r="P230" s="87">
        <f>P231+P243+P253+P257</f>
        <v>265888880</v>
      </c>
      <c r="Q230" s="87">
        <f>Q231+Q243+Q253+Q257</f>
        <v>183637301</v>
      </c>
      <c r="R230" s="87">
        <f>R231+R243+R253+R257</f>
        <v>449526181</v>
      </c>
      <c r="S230" s="87">
        <f>S231+S243+S253+S257</f>
        <v>348532430</v>
      </c>
      <c r="T230" s="87">
        <f t="shared" ref="T230:V230" si="104">T231+T243+T253+T257</f>
        <v>124063551</v>
      </c>
      <c r="U230" s="87">
        <f>U231+U243+U253+U257</f>
        <v>472595981</v>
      </c>
      <c r="V230" s="87">
        <f t="shared" si="104"/>
        <v>51584819</v>
      </c>
      <c r="W230" s="82"/>
      <c r="X230" s="82">
        <f t="shared" si="88"/>
        <v>-23069800</v>
      </c>
      <c r="Y230" s="209">
        <f t="shared" si="90"/>
        <v>0.90158964426014843</v>
      </c>
    </row>
    <row r="231" spans="1:29" s="3" customFormat="1" ht="39.75" customHeight="1">
      <c r="A231" s="65">
        <v>7</v>
      </c>
      <c r="B231" s="113" t="s">
        <v>19</v>
      </c>
      <c r="C231" s="113" t="s">
        <v>30</v>
      </c>
      <c r="D231" s="12">
        <v>2</v>
      </c>
      <c r="E231" s="115" t="s">
        <v>22</v>
      </c>
      <c r="F231" s="115" t="s">
        <v>30</v>
      </c>
      <c r="G231" s="69">
        <v>5</v>
      </c>
      <c r="H231" s="69">
        <v>1</v>
      </c>
      <c r="I231" s="115" t="s">
        <v>22</v>
      </c>
      <c r="J231" s="104" t="s">
        <v>19</v>
      </c>
      <c r="K231" s="16"/>
      <c r="L231" s="16"/>
      <c r="M231" s="33"/>
      <c r="N231" s="53" t="s">
        <v>65</v>
      </c>
      <c r="O231" s="87">
        <f>O232</f>
        <v>172311100</v>
      </c>
      <c r="P231" s="87">
        <f>P232</f>
        <v>81938400</v>
      </c>
      <c r="Q231" s="87">
        <f t="shared" ref="Q231:V231" si="105">Q232</f>
        <v>60021951</v>
      </c>
      <c r="R231" s="87">
        <f t="shared" si="105"/>
        <v>141960351</v>
      </c>
      <c r="S231" s="87">
        <f t="shared" si="105"/>
        <v>98251950</v>
      </c>
      <c r="T231" s="87">
        <f t="shared" si="105"/>
        <v>44128201</v>
      </c>
      <c r="U231" s="87">
        <f t="shared" si="105"/>
        <v>142380151</v>
      </c>
      <c r="V231" s="87">
        <f t="shared" si="105"/>
        <v>29930949</v>
      </c>
      <c r="W231" s="82"/>
      <c r="X231" s="82">
        <f t="shared" si="88"/>
        <v>-419800</v>
      </c>
      <c r="Y231" s="209">
        <f t="shared" si="90"/>
        <v>0.82629703483989136</v>
      </c>
    </row>
    <row r="232" spans="1:29" s="3" customFormat="1" ht="39.75" customHeight="1">
      <c r="A232" s="65">
        <v>7</v>
      </c>
      <c r="B232" s="113" t="s">
        <v>19</v>
      </c>
      <c r="C232" s="113" t="s">
        <v>30</v>
      </c>
      <c r="D232" s="12">
        <v>2</v>
      </c>
      <c r="E232" s="115" t="s">
        <v>22</v>
      </c>
      <c r="F232" s="115" t="s">
        <v>30</v>
      </c>
      <c r="G232" s="69">
        <v>5</v>
      </c>
      <c r="H232" s="69">
        <v>1</v>
      </c>
      <c r="I232" s="115" t="s">
        <v>22</v>
      </c>
      <c r="J232" s="104" t="s">
        <v>19</v>
      </c>
      <c r="K232" s="104" t="s">
        <v>19</v>
      </c>
      <c r="L232" s="85"/>
      <c r="M232" s="86"/>
      <c r="N232" s="129" t="s">
        <v>131</v>
      </c>
      <c r="O232" s="87">
        <f>SUM(O233:O242)</f>
        <v>172311100</v>
      </c>
      <c r="P232" s="87">
        <f>SUM(P233:P242)</f>
        <v>81938400</v>
      </c>
      <c r="Q232" s="87">
        <f>SUM(Q233:Q242)</f>
        <v>60021951</v>
      </c>
      <c r="R232" s="87">
        <f t="shared" ref="R232:V232" si="106">SUM(R233:R242)</f>
        <v>141960351</v>
      </c>
      <c r="S232" s="87">
        <f t="shared" si="106"/>
        <v>98251950</v>
      </c>
      <c r="T232" s="87">
        <f t="shared" si="106"/>
        <v>44128201</v>
      </c>
      <c r="U232" s="87">
        <f t="shared" si="106"/>
        <v>142380151</v>
      </c>
      <c r="V232" s="87">
        <f t="shared" si="106"/>
        <v>29930949</v>
      </c>
      <c r="W232" s="82"/>
      <c r="X232" s="82">
        <f t="shared" si="88"/>
        <v>-419800</v>
      </c>
      <c r="Y232" s="209">
        <f t="shared" si="90"/>
        <v>0.82629703483989136</v>
      </c>
    </row>
    <row r="233" spans="1:29" s="3" customFormat="1" ht="39.75" customHeight="1">
      <c r="A233" s="384">
        <v>7</v>
      </c>
      <c r="B233" s="385" t="s">
        <v>19</v>
      </c>
      <c r="C233" s="385" t="s">
        <v>30</v>
      </c>
      <c r="D233" s="307">
        <v>2</v>
      </c>
      <c r="E233" s="400" t="s">
        <v>22</v>
      </c>
      <c r="F233" s="400" t="s">
        <v>30</v>
      </c>
      <c r="G233" s="398">
        <v>5</v>
      </c>
      <c r="H233" s="398">
        <v>1</v>
      </c>
      <c r="I233" s="400" t="s">
        <v>22</v>
      </c>
      <c r="J233" s="306" t="s">
        <v>19</v>
      </c>
      <c r="K233" s="306" t="s">
        <v>19</v>
      </c>
      <c r="L233" s="411" t="s">
        <v>171</v>
      </c>
      <c r="M233" s="406">
        <v>2</v>
      </c>
      <c r="N233" s="407" t="s">
        <v>258</v>
      </c>
      <c r="O233" s="84">
        <f>'SPJ FUNGSIONAL '!O239</f>
        <v>36000000</v>
      </c>
      <c r="P233" s="81">
        <f>'[1]LRA SP2D'!$R$233</f>
        <v>27710000</v>
      </c>
      <c r="Q233" s="81">
        <v>4800000</v>
      </c>
      <c r="R233" s="81">
        <f t="shared" si="85"/>
        <v>32510000</v>
      </c>
      <c r="S233" s="81">
        <f>'SPJ FUNGSIONAL '!V239</f>
        <v>32510000</v>
      </c>
      <c r="T233" s="81">
        <f>'SPJ FUNGSIONAL '!W239</f>
        <v>0</v>
      </c>
      <c r="U233" s="81">
        <f t="shared" si="86"/>
        <v>32510000</v>
      </c>
      <c r="V233" s="81">
        <f t="shared" si="87"/>
        <v>3490000</v>
      </c>
      <c r="W233" s="81"/>
      <c r="X233" s="81">
        <f t="shared" si="88"/>
        <v>0</v>
      </c>
      <c r="Y233" s="207">
        <f t="shared" si="90"/>
        <v>0.9030555555555555</v>
      </c>
    </row>
    <row r="234" spans="1:29" s="3" customFormat="1" ht="39.75" customHeight="1">
      <c r="A234" s="67">
        <v>7</v>
      </c>
      <c r="B234" s="114" t="s">
        <v>19</v>
      </c>
      <c r="C234" s="114" t="s">
        <v>30</v>
      </c>
      <c r="D234" s="16">
        <v>2</v>
      </c>
      <c r="E234" s="116" t="s">
        <v>22</v>
      </c>
      <c r="F234" s="116" t="s">
        <v>30</v>
      </c>
      <c r="G234" s="70">
        <v>5</v>
      </c>
      <c r="H234" s="70">
        <v>1</v>
      </c>
      <c r="I234" s="116" t="s">
        <v>22</v>
      </c>
      <c r="J234" s="105" t="s">
        <v>19</v>
      </c>
      <c r="K234" s="105" t="s">
        <v>19</v>
      </c>
      <c r="L234" s="117" t="s">
        <v>56</v>
      </c>
      <c r="M234" s="86">
        <v>4</v>
      </c>
      <c r="N234" s="34" t="s">
        <v>132</v>
      </c>
      <c r="O234" s="84">
        <f>'SPJ FUNGSIONAL '!O240</f>
        <v>20495050</v>
      </c>
      <c r="P234" s="81">
        <f>'[1]LRA SP2D'!$R$234</f>
        <v>15589000</v>
      </c>
      <c r="Q234" s="81">
        <f>3979050</f>
        <v>3979050</v>
      </c>
      <c r="R234" s="81">
        <f t="shared" si="85"/>
        <v>19568050</v>
      </c>
      <c r="S234" s="81">
        <f>'SPJ FUNGSIONAL '!V240</f>
        <v>19568050</v>
      </c>
      <c r="T234" s="193">
        <f>'SPJ FUNGSIONAL '!W240</f>
        <v>-97500</v>
      </c>
      <c r="U234" s="81">
        <f t="shared" si="86"/>
        <v>19470550</v>
      </c>
      <c r="V234" s="81">
        <f t="shared" si="87"/>
        <v>1024500</v>
      </c>
      <c r="W234" s="81"/>
      <c r="X234" s="81">
        <f t="shared" si="88"/>
        <v>97500</v>
      </c>
      <c r="Y234" s="207">
        <f t="shared" si="90"/>
        <v>0.95001232004801162</v>
      </c>
    </row>
    <row r="235" spans="1:29" s="3" customFormat="1" ht="39.75" customHeight="1">
      <c r="A235" s="67">
        <v>7</v>
      </c>
      <c r="B235" s="114" t="s">
        <v>19</v>
      </c>
      <c r="C235" s="114" t="s">
        <v>30</v>
      </c>
      <c r="D235" s="16">
        <v>2</v>
      </c>
      <c r="E235" s="116" t="s">
        <v>22</v>
      </c>
      <c r="F235" s="116" t="s">
        <v>30</v>
      </c>
      <c r="G235" s="70">
        <v>5</v>
      </c>
      <c r="H235" s="70">
        <v>1</v>
      </c>
      <c r="I235" s="116" t="s">
        <v>22</v>
      </c>
      <c r="J235" s="105" t="s">
        <v>19</v>
      </c>
      <c r="K235" s="105" t="s">
        <v>19</v>
      </c>
      <c r="L235" s="117" t="s">
        <v>56</v>
      </c>
      <c r="M235" s="86">
        <v>5</v>
      </c>
      <c r="N235" s="39" t="s">
        <v>133</v>
      </c>
      <c r="O235" s="84">
        <f>'SPJ FUNGSIONAL '!O241</f>
        <v>1610000</v>
      </c>
      <c r="P235" s="81">
        <f>'[1]LRA SP2D'!$R$235</f>
        <v>763000</v>
      </c>
      <c r="Q235" s="81">
        <v>275000</v>
      </c>
      <c r="R235" s="81">
        <f t="shared" si="85"/>
        <v>1038000</v>
      </c>
      <c r="S235" s="81">
        <f>'SPJ FUNGSIONAL '!V241</f>
        <v>928000</v>
      </c>
      <c r="T235" s="81">
        <f>'SPJ FUNGSIONAL '!W241</f>
        <v>110000</v>
      </c>
      <c r="U235" s="81">
        <f t="shared" si="86"/>
        <v>1038000</v>
      </c>
      <c r="V235" s="81">
        <f t="shared" si="87"/>
        <v>572000</v>
      </c>
      <c r="W235" s="81"/>
      <c r="X235" s="81">
        <f t="shared" si="88"/>
        <v>0</v>
      </c>
      <c r="Y235" s="207">
        <f t="shared" si="90"/>
        <v>0.64472049689440991</v>
      </c>
    </row>
    <row r="236" spans="1:29" s="3" customFormat="1" ht="39.75" customHeight="1">
      <c r="A236" s="67">
        <v>7</v>
      </c>
      <c r="B236" s="114" t="s">
        <v>19</v>
      </c>
      <c r="C236" s="114" t="s">
        <v>30</v>
      </c>
      <c r="D236" s="16">
        <v>2</v>
      </c>
      <c r="E236" s="116" t="s">
        <v>22</v>
      </c>
      <c r="F236" s="116" t="s">
        <v>30</v>
      </c>
      <c r="G236" s="70">
        <v>5</v>
      </c>
      <c r="H236" s="70">
        <v>1</v>
      </c>
      <c r="I236" s="116" t="s">
        <v>22</v>
      </c>
      <c r="J236" s="105" t="s">
        <v>19</v>
      </c>
      <c r="K236" s="105" t="s">
        <v>19</v>
      </c>
      <c r="L236" s="117" t="s">
        <v>56</v>
      </c>
      <c r="M236" s="118" t="s">
        <v>89</v>
      </c>
      <c r="N236" s="34" t="s">
        <v>134</v>
      </c>
      <c r="O236" s="84">
        <f>'SPJ FUNGSIONAL '!O242</f>
        <v>10986050</v>
      </c>
      <c r="P236" s="81">
        <f>'[1]LRA SP2D'!$R$236</f>
        <v>5935150</v>
      </c>
      <c r="Q236" s="81">
        <f>2461350</f>
        <v>2461350</v>
      </c>
      <c r="R236" s="81">
        <f t="shared" si="85"/>
        <v>8396500</v>
      </c>
      <c r="S236" s="81">
        <f>'SPJ FUNGSIONAL '!V242</f>
        <v>6295150</v>
      </c>
      <c r="T236" s="193">
        <f>'SPJ FUNGSIONAL '!W242</f>
        <v>2036350</v>
      </c>
      <c r="U236" s="81">
        <f t="shared" si="86"/>
        <v>8331500</v>
      </c>
      <c r="V236" s="81">
        <f t="shared" si="87"/>
        <v>2654550</v>
      </c>
      <c r="W236" s="81"/>
      <c r="X236" s="81">
        <f t="shared" si="88"/>
        <v>65000</v>
      </c>
      <c r="Y236" s="207">
        <f t="shared" si="90"/>
        <v>0.75837084302365276</v>
      </c>
    </row>
    <row r="237" spans="1:29" s="3" customFormat="1" ht="39.75" customHeight="1">
      <c r="A237" s="67">
        <v>7</v>
      </c>
      <c r="B237" s="114" t="s">
        <v>19</v>
      </c>
      <c r="C237" s="114" t="s">
        <v>30</v>
      </c>
      <c r="D237" s="16">
        <v>2</v>
      </c>
      <c r="E237" s="116" t="s">
        <v>22</v>
      </c>
      <c r="F237" s="116" t="s">
        <v>30</v>
      </c>
      <c r="G237" s="70">
        <v>5</v>
      </c>
      <c r="H237" s="70">
        <v>1</v>
      </c>
      <c r="I237" s="116" t="s">
        <v>22</v>
      </c>
      <c r="J237" s="105" t="s">
        <v>19</v>
      </c>
      <c r="K237" s="105" t="s">
        <v>19</v>
      </c>
      <c r="L237" s="117" t="s">
        <v>56</v>
      </c>
      <c r="M237" s="86">
        <v>9</v>
      </c>
      <c r="N237" s="39" t="s">
        <v>135</v>
      </c>
      <c r="O237" s="84">
        <f>'SPJ FUNGSIONAL '!O243</f>
        <v>500000</v>
      </c>
      <c r="P237" s="81">
        <f>'[1]LRA SP2D'!$R$237</f>
        <v>200000</v>
      </c>
      <c r="Q237" s="81">
        <v>300000</v>
      </c>
      <c r="R237" s="81">
        <f t="shared" si="85"/>
        <v>500000</v>
      </c>
      <c r="S237" s="81">
        <f>'SPJ FUNGSIONAL '!V243</f>
        <v>500000</v>
      </c>
      <c r="T237" s="81">
        <f>'SPJ FUNGSIONAL '!W243</f>
        <v>0</v>
      </c>
      <c r="U237" s="81">
        <f t="shared" si="86"/>
        <v>500000</v>
      </c>
      <c r="V237" s="81">
        <f t="shared" si="87"/>
        <v>0</v>
      </c>
      <c r="W237" s="81"/>
      <c r="X237" s="81">
        <f t="shared" si="88"/>
        <v>0</v>
      </c>
      <c r="Y237" s="207">
        <f t="shared" si="90"/>
        <v>1</v>
      </c>
    </row>
    <row r="238" spans="1:29" s="3" customFormat="1" ht="39.75" customHeight="1">
      <c r="A238" s="67">
        <v>7</v>
      </c>
      <c r="B238" s="114" t="s">
        <v>19</v>
      </c>
      <c r="C238" s="114" t="s">
        <v>30</v>
      </c>
      <c r="D238" s="16">
        <v>2</v>
      </c>
      <c r="E238" s="116" t="s">
        <v>22</v>
      </c>
      <c r="F238" s="116" t="s">
        <v>30</v>
      </c>
      <c r="G238" s="70">
        <v>5</v>
      </c>
      <c r="H238" s="70">
        <v>1</v>
      </c>
      <c r="I238" s="116" t="s">
        <v>22</v>
      </c>
      <c r="J238" s="105" t="s">
        <v>19</v>
      </c>
      <c r="K238" s="105" t="s">
        <v>19</v>
      </c>
      <c r="L238" s="117" t="s">
        <v>52</v>
      </c>
      <c r="M238" s="86">
        <v>5</v>
      </c>
      <c r="N238" s="39" t="s">
        <v>136</v>
      </c>
      <c r="O238" s="84">
        <f>'SPJ FUNGSIONAL '!O244</f>
        <v>800000</v>
      </c>
      <c r="P238" s="81">
        <f>S238</f>
        <v>0</v>
      </c>
      <c r="Q238" s="81">
        <f>T238</f>
        <v>0</v>
      </c>
      <c r="R238" s="81">
        <f t="shared" si="85"/>
        <v>0</v>
      </c>
      <c r="S238" s="81">
        <f>'SPJ FUNGSIONAL '!V244</f>
        <v>0</v>
      </c>
      <c r="T238" s="81">
        <f>'SPJ FUNGSIONAL '!W244</f>
        <v>0</v>
      </c>
      <c r="U238" s="81">
        <f t="shared" si="86"/>
        <v>0</v>
      </c>
      <c r="V238" s="81">
        <f t="shared" si="87"/>
        <v>800000</v>
      </c>
      <c r="W238" s="81">
        <f t="shared" si="98"/>
        <v>0</v>
      </c>
      <c r="X238" s="81">
        <f t="shared" si="88"/>
        <v>0</v>
      </c>
      <c r="Y238" s="207">
        <f t="shared" si="90"/>
        <v>0</v>
      </c>
    </row>
    <row r="239" spans="1:29" s="3" customFormat="1" ht="39.75" customHeight="1">
      <c r="A239" s="67">
        <v>7</v>
      </c>
      <c r="B239" s="114" t="s">
        <v>19</v>
      </c>
      <c r="C239" s="114" t="s">
        <v>30</v>
      </c>
      <c r="D239" s="16">
        <v>2</v>
      </c>
      <c r="E239" s="116" t="s">
        <v>22</v>
      </c>
      <c r="F239" s="116" t="s">
        <v>30</v>
      </c>
      <c r="G239" s="70">
        <v>5</v>
      </c>
      <c r="H239" s="70">
        <v>1</v>
      </c>
      <c r="I239" s="116" t="s">
        <v>22</v>
      </c>
      <c r="J239" s="105" t="s">
        <v>19</v>
      </c>
      <c r="K239" s="105" t="s">
        <v>19</v>
      </c>
      <c r="L239" s="117" t="s">
        <v>52</v>
      </c>
      <c r="M239" s="86">
        <v>6</v>
      </c>
      <c r="N239" s="39" t="s">
        <v>204</v>
      </c>
      <c r="O239" s="84">
        <f>'SPJ FUNGSIONAL '!O245</f>
        <v>0</v>
      </c>
      <c r="P239" s="81"/>
      <c r="Q239" s="81"/>
      <c r="R239" s="81">
        <f t="shared" si="85"/>
        <v>0</v>
      </c>
      <c r="S239" s="81">
        <f>'SPJ FUNGSIONAL '!V245</f>
        <v>0</v>
      </c>
      <c r="T239" s="81">
        <f>'SPJ FUNGSIONAL '!W245</f>
        <v>0</v>
      </c>
      <c r="U239" s="81">
        <f t="shared" si="86"/>
        <v>0</v>
      </c>
      <c r="V239" s="81">
        <f t="shared" si="87"/>
        <v>0</v>
      </c>
      <c r="W239" s="81">
        <f t="shared" si="98"/>
        <v>0</v>
      </c>
      <c r="X239" s="81">
        <f t="shared" si="88"/>
        <v>0</v>
      </c>
      <c r="Y239" s="207">
        <v>0</v>
      </c>
    </row>
    <row r="240" spans="1:29" s="3" customFormat="1" ht="39.75" customHeight="1">
      <c r="A240" s="67">
        <v>7</v>
      </c>
      <c r="B240" s="114" t="s">
        <v>19</v>
      </c>
      <c r="C240" s="114" t="s">
        <v>30</v>
      </c>
      <c r="D240" s="16">
        <v>2</v>
      </c>
      <c r="E240" s="116" t="s">
        <v>22</v>
      </c>
      <c r="F240" s="116" t="s">
        <v>30</v>
      </c>
      <c r="G240" s="70">
        <v>5</v>
      </c>
      <c r="H240" s="70">
        <v>1</v>
      </c>
      <c r="I240" s="116" t="s">
        <v>22</v>
      </c>
      <c r="J240" s="105" t="s">
        <v>19</v>
      </c>
      <c r="K240" s="105" t="s">
        <v>19</v>
      </c>
      <c r="L240" s="117" t="s">
        <v>66</v>
      </c>
      <c r="M240" s="86">
        <v>2</v>
      </c>
      <c r="N240" s="128" t="s">
        <v>126</v>
      </c>
      <c r="O240" s="84">
        <f>'SPJ FUNGSIONAL '!O246</f>
        <v>22245000</v>
      </c>
      <c r="P240" s="81">
        <f>'[1]LRA SP2D'!$R$240</f>
        <v>5615400</v>
      </c>
      <c r="Q240" s="81">
        <v>5925150</v>
      </c>
      <c r="R240" s="81">
        <f t="shared" si="85"/>
        <v>11540550</v>
      </c>
      <c r="S240" s="81">
        <f>'SPJ FUNGSIONAL '!V246</f>
        <v>9552900</v>
      </c>
      <c r="T240" s="81">
        <f>'SPJ FUNGSIONAL '!W246</f>
        <v>1987650</v>
      </c>
      <c r="U240" s="81">
        <f t="shared" si="86"/>
        <v>11540550</v>
      </c>
      <c r="V240" s="81">
        <f t="shared" si="87"/>
        <v>10704450</v>
      </c>
      <c r="W240" s="81"/>
      <c r="X240" s="81">
        <f t="shared" si="88"/>
        <v>0</v>
      </c>
      <c r="Y240" s="207">
        <f t="shared" si="90"/>
        <v>0.51879298718813216</v>
      </c>
    </row>
    <row r="241" spans="1:25" s="3" customFormat="1" ht="39.75" customHeight="1">
      <c r="A241" s="67">
        <v>7</v>
      </c>
      <c r="B241" s="114" t="s">
        <v>19</v>
      </c>
      <c r="C241" s="114" t="s">
        <v>30</v>
      </c>
      <c r="D241" s="16">
        <v>2</v>
      </c>
      <c r="E241" s="116" t="s">
        <v>22</v>
      </c>
      <c r="F241" s="116" t="s">
        <v>30</v>
      </c>
      <c r="G241" s="70">
        <v>5</v>
      </c>
      <c r="H241" s="70">
        <v>1</v>
      </c>
      <c r="I241" s="116" t="s">
        <v>22</v>
      </c>
      <c r="J241" s="105" t="s">
        <v>19</v>
      </c>
      <c r="K241" s="105" t="s">
        <v>19</v>
      </c>
      <c r="L241" s="117" t="s">
        <v>66</v>
      </c>
      <c r="M241" s="86">
        <v>8</v>
      </c>
      <c r="N241" s="128" t="s">
        <v>113</v>
      </c>
      <c r="O241" s="84">
        <f>'SPJ FUNGSIONAL '!O247</f>
        <v>79675000</v>
      </c>
      <c r="P241" s="81">
        <f>'[1]LRA SP2D'!$R$241</f>
        <v>26125850</v>
      </c>
      <c r="Q241" s="81">
        <f>42281401</f>
        <v>42281401</v>
      </c>
      <c r="R241" s="81">
        <f t="shared" ref="R241:R291" si="107">P241+Q241</f>
        <v>68407251</v>
      </c>
      <c r="S241" s="81">
        <f>'SPJ FUNGSIONAL '!V247</f>
        <v>28897850</v>
      </c>
      <c r="T241" s="193">
        <f>'SPJ FUNGSIONAL '!W247</f>
        <v>40091701</v>
      </c>
      <c r="U241" s="81">
        <f t="shared" ref="U241:U291" si="108">S241+T241</f>
        <v>68989551</v>
      </c>
      <c r="V241" s="81">
        <f t="shared" ref="V241:V291" si="109">O241-U241</f>
        <v>10685449</v>
      </c>
      <c r="W241" s="81"/>
      <c r="X241" s="81">
        <f t="shared" ref="X241:X294" si="110">R241-U241</f>
        <v>-582300</v>
      </c>
      <c r="Y241" s="207">
        <f t="shared" si="90"/>
        <v>0.86588705365547536</v>
      </c>
    </row>
    <row r="242" spans="1:25" s="3" customFormat="1" ht="39.75" customHeight="1">
      <c r="A242" s="67">
        <v>7</v>
      </c>
      <c r="B242" s="114" t="s">
        <v>19</v>
      </c>
      <c r="C242" s="114" t="s">
        <v>30</v>
      </c>
      <c r="D242" s="16">
        <v>2</v>
      </c>
      <c r="E242" s="116" t="s">
        <v>22</v>
      </c>
      <c r="F242" s="116" t="s">
        <v>30</v>
      </c>
      <c r="G242" s="70">
        <v>5</v>
      </c>
      <c r="H242" s="70">
        <v>1</v>
      </c>
      <c r="I242" s="116" t="s">
        <v>22</v>
      </c>
      <c r="J242" s="105" t="s">
        <v>19</v>
      </c>
      <c r="K242" s="105" t="s">
        <v>19</v>
      </c>
      <c r="L242" s="117" t="s">
        <v>128</v>
      </c>
      <c r="M242" s="86">
        <v>5</v>
      </c>
      <c r="N242" s="128" t="s">
        <v>129</v>
      </c>
      <c r="O242" s="84">
        <f>'SPJ FUNGSIONAL '!O248</f>
        <v>0</v>
      </c>
      <c r="P242" s="81"/>
      <c r="Q242" s="81"/>
      <c r="R242" s="81">
        <f t="shared" si="107"/>
        <v>0</v>
      </c>
      <c r="S242" s="81">
        <f>'SPJ FUNGSIONAL '!V248</f>
        <v>0</v>
      </c>
      <c r="T242" s="81">
        <f>'SPJ FUNGSIONAL '!W248</f>
        <v>0</v>
      </c>
      <c r="U242" s="81">
        <f t="shared" si="108"/>
        <v>0</v>
      </c>
      <c r="V242" s="81">
        <f t="shared" si="109"/>
        <v>0</v>
      </c>
      <c r="W242" s="81"/>
      <c r="X242" s="81">
        <f t="shared" si="110"/>
        <v>0</v>
      </c>
      <c r="Y242" s="207">
        <v>0</v>
      </c>
    </row>
    <row r="243" spans="1:25" s="3" customFormat="1" ht="39.75" customHeight="1">
      <c r="A243" s="65">
        <v>7</v>
      </c>
      <c r="B243" s="113" t="s">
        <v>19</v>
      </c>
      <c r="C243" s="113" t="s">
        <v>30</v>
      </c>
      <c r="D243" s="12">
        <v>2</v>
      </c>
      <c r="E243" s="115" t="s">
        <v>22</v>
      </c>
      <c r="F243" s="115" t="s">
        <v>30</v>
      </c>
      <c r="G243" s="69">
        <v>5</v>
      </c>
      <c r="H243" s="69">
        <v>1</v>
      </c>
      <c r="I243" s="115" t="s">
        <v>22</v>
      </c>
      <c r="J243" s="104" t="s">
        <v>22</v>
      </c>
      <c r="K243" s="16"/>
      <c r="L243" s="16"/>
      <c r="M243" s="33"/>
      <c r="N243" s="53" t="s">
        <v>137</v>
      </c>
      <c r="O243" s="87">
        <f>O244</f>
        <v>238180000</v>
      </c>
      <c r="P243" s="87">
        <f>P244</f>
        <v>141650000</v>
      </c>
      <c r="Q243" s="87">
        <f>Q244+Q250</f>
        <v>72180000</v>
      </c>
      <c r="R243" s="87">
        <f>R244+R250</f>
        <v>213830000</v>
      </c>
      <c r="S243" s="87">
        <f>S244+S250</f>
        <v>168530000</v>
      </c>
      <c r="T243" s="87">
        <f>T244+T250</f>
        <v>67950000</v>
      </c>
      <c r="U243" s="87">
        <f>SUM(S243:T243)</f>
        <v>236480000</v>
      </c>
      <c r="V243" s="87">
        <f t="shared" ref="V243" si="111">V244</f>
        <v>8600000</v>
      </c>
      <c r="W243" s="82"/>
      <c r="X243" s="82">
        <f t="shared" si="110"/>
        <v>-22650000</v>
      </c>
      <c r="Y243" s="209">
        <f t="shared" ref="Y243:Y295" si="112">U243/O243*100%</f>
        <v>0.99286254093542703</v>
      </c>
    </row>
    <row r="244" spans="1:25" s="3" customFormat="1" ht="39.75" customHeight="1">
      <c r="A244" s="65">
        <v>7</v>
      </c>
      <c r="B244" s="113" t="s">
        <v>19</v>
      </c>
      <c r="C244" s="113" t="s">
        <v>30</v>
      </c>
      <c r="D244" s="12">
        <v>2</v>
      </c>
      <c r="E244" s="115" t="s">
        <v>22</v>
      </c>
      <c r="F244" s="115" t="s">
        <v>30</v>
      </c>
      <c r="G244" s="69">
        <v>5</v>
      </c>
      <c r="H244" s="69">
        <v>1</v>
      </c>
      <c r="I244" s="115" t="s">
        <v>22</v>
      </c>
      <c r="J244" s="104" t="s">
        <v>22</v>
      </c>
      <c r="K244" s="104" t="s">
        <v>19</v>
      </c>
      <c r="L244" s="16"/>
      <c r="M244" s="33"/>
      <c r="N244" s="129" t="s">
        <v>76</v>
      </c>
      <c r="O244" s="87">
        <f>SUM(O245:O249)</f>
        <v>238180000</v>
      </c>
      <c r="P244" s="87">
        <f>SUM(P245:P249)</f>
        <v>141650000</v>
      </c>
      <c r="Q244" s="87">
        <f>SUM(Q245:Q249)</f>
        <v>65280000</v>
      </c>
      <c r="R244" s="87">
        <f t="shared" ref="R244:V244" si="113">SUM(R245:R249)</f>
        <v>206930000</v>
      </c>
      <c r="S244" s="87">
        <f t="shared" si="113"/>
        <v>168530000</v>
      </c>
      <c r="T244" s="87">
        <f t="shared" si="113"/>
        <v>61050000</v>
      </c>
      <c r="U244" s="87">
        <f t="shared" si="113"/>
        <v>229580000</v>
      </c>
      <c r="V244" s="87">
        <f t="shared" si="113"/>
        <v>8600000</v>
      </c>
      <c r="W244" s="82"/>
      <c r="X244" s="82">
        <f t="shared" si="110"/>
        <v>-22650000</v>
      </c>
      <c r="Y244" s="209">
        <f t="shared" si="112"/>
        <v>0.96389285414392478</v>
      </c>
    </row>
    <row r="245" spans="1:25" s="3" customFormat="1" ht="39.75" customHeight="1">
      <c r="A245" s="67">
        <v>7</v>
      </c>
      <c r="B245" s="114" t="s">
        <v>19</v>
      </c>
      <c r="C245" s="114" t="s">
        <v>30</v>
      </c>
      <c r="D245" s="16">
        <v>2</v>
      </c>
      <c r="E245" s="116" t="s">
        <v>22</v>
      </c>
      <c r="F245" s="116" t="s">
        <v>30</v>
      </c>
      <c r="G245" s="70">
        <v>5</v>
      </c>
      <c r="H245" s="70">
        <v>1</v>
      </c>
      <c r="I245" s="116" t="s">
        <v>22</v>
      </c>
      <c r="J245" s="105" t="s">
        <v>22</v>
      </c>
      <c r="K245" s="105" t="s">
        <v>19</v>
      </c>
      <c r="L245" s="105" t="s">
        <v>27</v>
      </c>
      <c r="M245" s="119">
        <v>3</v>
      </c>
      <c r="N245" s="128" t="s">
        <v>152</v>
      </c>
      <c r="O245" s="84">
        <f>'SPJ FUNGSIONAL '!O251</f>
        <v>80500000</v>
      </c>
      <c r="P245" s="81">
        <f>'[1]LRA SP2D'!$R$245</f>
        <v>44400000</v>
      </c>
      <c r="Q245" s="81">
        <v>16100000</v>
      </c>
      <c r="R245" s="81">
        <f t="shared" si="107"/>
        <v>60500000</v>
      </c>
      <c r="S245" s="81">
        <f>'SPJ FUNGSIONAL '!V251</f>
        <v>52850000</v>
      </c>
      <c r="T245" s="81">
        <f>'SPJ FUNGSIONAL '!W251</f>
        <v>26050000</v>
      </c>
      <c r="U245" s="81">
        <f t="shared" si="108"/>
        <v>78900000</v>
      </c>
      <c r="V245" s="81">
        <f t="shared" si="109"/>
        <v>1600000</v>
      </c>
      <c r="W245" s="81"/>
      <c r="X245" s="81">
        <f t="shared" si="110"/>
        <v>-18400000</v>
      </c>
      <c r="Y245" s="207">
        <f t="shared" si="112"/>
        <v>0.98012422360248452</v>
      </c>
    </row>
    <row r="246" spans="1:25" s="3" customFormat="1" ht="39.75" customHeight="1">
      <c r="A246" s="67">
        <v>7</v>
      </c>
      <c r="B246" s="114" t="s">
        <v>19</v>
      </c>
      <c r="C246" s="114" t="s">
        <v>30</v>
      </c>
      <c r="D246" s="16">
        <v>2</v>
      </c>
      <c r="E246" s="116" t="s">
        <v>22</v>
      </c>
      <c r="F246" s="116" t="s">
        <v>30</v>
      </c>
      <c r="G246" s="70">
        <v>5</v>
      </c>
      <c r="H246" s="70">
        <v>1</v>
      </c>
      <c r="I246" s="116" t="s">
        <v>22</v>
      </c>
      <c r="J246" s="105" t="s">
        <v>22</v>
      </c>
      <c r="K246" s="105" t="s">
        <v>19</v>
      </c>
      <c r="L246" s="105" t="s">
        <v>27</v>
      </c>
      <c r="M246" s="119" t="s">
        <v>89</v>
      </c>
      <c r="N246" s="128" t="s">
        <v>138</v>
      </c>
      <c r="O246" s="84">
        <f>'SPJ FUNGSIONAL '!O252</f>
        <v>108000000</v>
      </c>
      <c r="P246" s="81">
        <f>'[1]LRA SP2D'!$R$246</f>
        <v>83000000</v>
      </c>
      <c r="Q246" s="81">
        <v>16000000</v>
      </c>
      <c r="R246" s="81">
        <f t="shared" si="107"/>
        <v>99000000</v>
      </c>
      <c r="S246" s="81">
        <f>'SPJ FUNGSIONAL '!V252</f>
        <v>85000000</v>
      </c>
      <c r="T246" s="81">
        <f>'SPJ FUNGSIONAL '!W252</f>
        <v>16000000</v>
      </c>
      <c r="U246" s="81">
        <f t="shared" si="108"/>
        <v>101000000</v>
      </c>
      <c r="V246" s="81">
        <f t="shared" si="109"/>
        <v>7000000</v>
      </c>
      <c r="W246" s="81"/>
      <c r="X246" s="81">
        <f t="shared" si="110"/>
        <v>-2000000</v>
      </c>
      <c r="Y246" s="207">
        <f t="shared" si="112"/>
        <v>0.93518518518518523</v>
      </c>
    </row>
    <row r="247" spans="1:25" s="3" customFormat="1" ht="39.75" customHeight="1">
      <c r="A247" s="384">
        <v>7</v>
      </c>
      <c r="B247" s="385" t="s">
        <v>19</v>
      </c>
      <c r="C247" s="385" t="s">
        <v>30</v>
      </c>
      <c r="D247" s="307">
        <v>2</v>
      </c>
      <c r="E247" s="400" t="s">
        <v>22</v>
      </c>
      <c r="F247" s="400" t="s">
        <v>30</v>
      </c>
      <c r="G247" s="398">
        <v>5</v>
      </c>
      <c r="H247" s="398">
        <v>1</v>
      </c>
      <c r="I247" s="400" t="s">
        <v>22</v>
      </c>
      <c r="J247" s="306" t="s">
        <v>22</v>
      </c>
      <c r="K247" s="306" t="s">
        <v>19</v>
      </c>
      <c r="L247" s="306" t="s">
        <v>56</v>
      </c>
      <c r="M247" s="414">
        <v>5</v>
      </c>
      <c r="N247" s="407" t="s">
        <v>287</v>
      </c>
      <c r="O247" s="84">
        <f>'SPJ FUNGSIONAL '!O253</f>
        <v>10000000</v>
      </c>
      <c r="P247" s="81"/>
      <c r="Q247" s="81">
        <v>10000000</v>
      </c>
      <c r="R247" s="81">
        <f t="shared" si="107"/>
        <v>10000000</v>
      </c>
      <c r="S247" s="81"/>
      <c r="T247" s="81">
        <f>'SPJ FUNGSIONAL '!W253</f>
        <v>10000000</v>
      </c>
      <c r="U247" s="81">
        <f t="shared" si="108"/>
        <v>10000000</v>
      </c>
      <c r="V247" s="81"/>
      <c r="W247" s="81">
        <f t="shared" ref="W247:W248" si="114">R247-U247</f>
        <v>0</v>
      </c>
      <c r="X247" s="81">
        <f t="shared" ref="X247:X248" si="115">R247-U247</f>
        <v>0</v>
      </c>
      <c r="Y247" s="207">
        <f t="shared" ref="Y247:Y248" si="116">U247/O247*100%</f>
        <v>1</v>
      </c>
    </row>
    <row r="248" spans="1:25" s="3" customFormat="1" ht="39.75" customHeight="1">
      <c r="A248" s="384">
        <v>7</v>
      </c>
      <c r="B248" s="385" t="s">
        <v>19</v>
      </c>
      <c r="C248" s="385" t="s">
        <v>30</v>
      </c>
      <c r="D248" s="307">
        <v>2</v>
      </c>
      <c r="E248" s="400" t="s">
        <v>22</v>
      </c>
      <c r="F248" s="400" t="s">
        <v>30</v>
      </c>
      <c r="G248" s="398">
        <v>5</v>
      </c>
      <c r="H248" s="398">
        <v>1</v>
      </c>
      <c r="I248" s="400" t="s">
        <v>22</v>
      </c>
      <c r="J248" s="306" t="s">
        <v>22</v>
      </c>
      <c r="K248" s="306" t="s">
        <v>19</v>
      </c>
      <c r="L248" s="306" t="s">
        <v>56</v>
      </c>
      <c r="M248" s="414">
        <v>7</v>
      </c>
      <c r="N248" s="407" t="s">
        <v>288</v>
      </c>
      <c r="O248" s="84">
        <f>'SPJ FUNGSIONAL '!O254</f>
        <v>16430000</v>
      </c>
      <c r="P248" s="81"/>
      <c r="Q248" s="81">
        <v>16430000</v>
      </c>
      <c r="R248" s="81">
        <f t="shared" si="107"/>
        <v>16430000</v>
      </c>
      <c r="S248" s="81">
        <f>'[1]LRA SP2D'!$U$248</f>
        <v>16430000</v>
      </c>
      <c r="T248" s="81"/>
      <c r="U248" s="81">
        <f t="shared" si="108"/>
        <v>16430000</v>
      </c>
      <c r="V248" s="81"/>
      <c r="W248" s="81">
        <f t="shared" si="114"/>
        <v>0</v>
      </c>
      <c r="X248" s="81">
        <f t="shared" si="115"/>
        <v>0</v>
      </c>
      <c r="Y248" s="207">
        <f t="shared" si="116"/>
        <v>1</v>
      </c>
    </row>
    <row r="249" spans="1:25" s="3" customFormat="1" ht="39.75" customHeight="1">
      <c r="A249" s="67">
        <v>7</v>
      </c>
      <c r="B249" s="114" t="s">
        <v>19</v>
      </c>
      <c r="C249" s="114" t="s">
        <v>30</v>
      </c>
      <c r="D249" s="16">
        <v>2</v>
      </c>
      <c r="E249" s="116" t="s">
        <v>22</v>
      </c>
      <c r="F249" s="116" t="s">
        <v>30</v>
      </c>
      <c r="G249" s="70">
        <v>5</v>
      </c>
      <c r="H249" s="70">
        <v>1</v>
      </c>
      <c r="I249" s="116" t="s">
        <v>22</v>
      </c>
      <c r="J249" s="105" t="s">
        <v>22</v>
      </c>
      <c r="K249" s="105" t="s">
        <v>19</v>
      </c>
      <c r="L249" s="105" t="s">
        <v>52</v>
      </c>
      <c r="M249" s="33">
        <v>7</v>
      </c>
      <c r="N249" s="128" t="s">
        <v>116</v>
      </c>
      <c r="O249" s="84">
        <f>'SPJ FUNGSIONAL '!O255</f>
        <v>23250000</v>
      </c>
      <c r="P249" s="81">
        <f>'[1]LRA SP2D'!$R$249</f>
        <v>14250000</v>
      </c>
      <c r="Q249" s="81">
        <f>T249-2250000</f>
        <v>6750000</v>
      </c>
      <c r="R249" s="81">
        <f t="shared" si="107"/>
        <v>21000000</v>
      </c>
      <c r="S249" s="81">
        <f>'SPJ FUNGSIONAL '!V255</f>
        <v>14250000</v>
      </c>
      <c r="T249" s="81">
        <f>'SPJ FUNGSIONAL '!W255</f>
        <v>9000000</v>
      </c>
      <c r="U249" s="81">
        <f t="shared" si="108"/>
        <v>23250000</v>
      </c>
      <c r="V249" s="81">
        <f t="shared" si="109"/>
        <v>0</v>
      </c>
      <c r="W249" s="81"/>
      <c r="X249" s="81">
        <f t="shared" si="110"/>
        <v>-2250000</v>
      </c>
      <c r="Y249" s="207">
        <f t="shared" si="112"/>
        <v>1</v>
      </c>
    </row>
    <row r="250" spans="1:25" s="159" customFormat="1" ht="39.75" customHeight="1">
      <c r="A250" s="379">
        <v>7</v>
      </c>
      <c r="B250" s="380" t="s">
        <v>19</v>
      </c>
      <c r="C250" s="380" t="s">
        <v>30</v>
      </c>
      <c r="D250" s="289">
        <v>2</v>
      </c>
      <c r="E250" s="396" t="s">
        <v>22</v>
      </c>
      <c r="F250" s="396" t="s">
        <v>30</v>
      </c>
      <c r="G250" s="397">
        <v>5</v>
      </c>
      <c r="H250" s="397">
        <v>1</v>
      </c>
      <c r="I250" s="396" t="s">
        <v>22</v>
      </c>
      <c r="J250" s="302" t="s">
        <v>22</v>
      </c>
      <c r="K250" s="302" t="s">
        <v>19</v>
      </c>
      <c r="L250" s="302"/>
      <c r="M250" s="520"/>
      <c r="N250" s="410" t="s">
        <v>263</v>
      </c>
      <c r="O250" s="87">
        <f>O251+O252</f>
        <v>6900000</v>
      </c>
      <c r="P250" s="87">
        <f>P251+P252</f>
        <v>0</v>
      </c>
      <c r="Q250" s="87">
        <f>Q251+Q252</f>
        <v>6900000</v>
      </c>
      <c r="R250" s="82">
        <f>SUM(P250:Q250)</f>
        <v>6900000</v>
      </c>
      <c r="S250" s="82">
        <f>S251+S252</f>
        <v>0</v>
      </c>
      <c r="T250" s="82">
        <f>T251+T252</f>
        <v>6900000</v>
      </c>
      <c r="U250" s="82">
        <f>SUM(S250:T250)</f>
        <v>6900000</v>
      </c>
      <c r="V250" s="82"/>
      <c r="W250" s="82">
        <f t="shared" ref="W250" si="117">Q250-T250</f>
        <v>0</v>
      </c>
      <c r="X250" s="82">
        <f t="shared" si="110"/>
        <v>0</v>
      </c>
      <c r="Y250" s="209">
        <f t="shared" si="112"/>
        <v>1</v>
      </c>
    </row>
    <row r="251" spans="1:25" s="3" customFormat="1" ht="39.75" customHeight="1">
      <c r="A251" s="384">
        <v>7</v>
      </c>
      <c r="B251" s="385" t="s">
        <v>19</v>
      </c>
      <c r="C251" s="385" t="s">
        <v>30</v>
      </c>
      <c r="D251" s="307">
        <v>2</v>
      </c>
      <c r="E251" s="400" t="s">
        <v>22</v>
      </c>
      <c r="F251" s="400" t="s">
        <v>30</v>
      </c>
      <c r="G251" s="398">
        <v>5</v>
      </c>
      <c r="H251" s="398">
        <v>1</v>
      </c>
      <c r="I251" s="400" t="s">
        <v>22</v>
      </c>
      <c r="J251" s="306" t="s">
        <v>22</v>
      </c>
      <c r="K251" s="306" t="s">
        <v>19</v>
      </c>
      <c r="L251" s="306" t="s">
        <v>100</v>
      </c>
      <c r="M251" s="414">
        <v>7</v>
      </c>
      <c r="N251" s="407" t="s">
        <v>264</v>
      </c>
      <c r="O251" s="84">
        <f>'SPJ FUNGSIONAL '!O257</f>
        <v>3900000</v>
      </c>
      <c r="P251" s="84"/>
      <c r="Q251" s="84">
        <v>3900000</v>
      </c>
      <c r="R251" s="81">
        <f>SUM(P251:Q251)</f>
        <v>3900000</v>
      </c>
      <c r="S251" s="81"/>
      <c r="T251" s="84">
        <f>'SPJ FUNGSIONAL '!W257</f>
        <v>3900000</v>
      </c>
      <c r="U251" s="81">
        <f>SUM(S251:T251)</f>
        <v>3900000</v>
      </c>
      <c r="V251" s="81"/>
      <c r="W251" s="81"/>
      <c r="X251" s="81">
        <f t="shared" si="110"/>
        <v>0</v>
      </c>
      <c r="Y251" s="207">
        <f t="shared" si="112"/>
        <v>1</v>
      </c>
    </row>
    <row r="252" spans="1:25" s="3" customFormat="1" ht="39.75" customHeight="1">
      <c r="A252" s="384">
        <v>7</v>
      </c>
      <c r="B252" s="385" t="s">
        <v>19</v>
      </c>
      <c r="C252" s="385" t="s">
        <v>30</v>
      </c>
      <c r="D252" s="307">
        <v>2</v>
      </c>
      <c r="E252" s="400" t="s">
        <v>22</v>
      </c>
      <c r="F252" s="400" t="s">
        <v>30</v>
      </c>
      <c r="G252" s="398">
        <v>5</v>
      </c>
      <c r="H252" s="398">
        <v>1</v>
      </c>
      <c r="I252" s="400" t="s">
        <v>22</v>
      </c>
      <c r="J252" s="306" t="s">
        <v>22</v>
      </c>
      <c r="K252" s="306" t="s">
        <v>19</v>
      </c>
      <c r="L252" s="306" t="s">
        <v>289</v>
      </c>
      <c r="M252" s="414">
        <v>2</v>
      </c>
      <c r="N252" s="407" t="s">
        <v>290</v>
      </c>
      <c r="O252" s="84">
        <f>'SPJ FUNGSIONAL '!O258</f>
        <v>3000000</v>
      </c>
      <c r="P252" s="84"/>
      <c r="Q252" s="84">
        <v>3000000</v>
      </c>
      <c r="R252" s="81">
        <f>SUM(P252:Q252)</f>
        <v>3000000</v>
      </c>
      <c r="S252" s="81"/>
      <c r="T252" s="84">
        <f>'SPJ FUNGSIONAL '!W258</f>
        <v>3000000</v>
      </c>
      <c r="U252" s="81">
        <f>SUM(S252:T252)</f>
        <v>3000000</v>
      </c>
      <c r="V252" s="81"/>
      <c r="W252" s="81"/>
      <c r="X252" s="81">
        <f t="shared" si="110"/>
        <v>0</v>
      </c>
      <c r="Y252" s="207">
        <f t="shared" si="112"/>
        <v>1</v>
      </c>
    </row>
    <row r="253" spans="1:25" s="3" customFormat="1" ht="39.75" customHeight="1">
      <c r="A253" s="65">
        <v>7</v>
      </c>
      <c r="B253" s="113" t="s">
        <v>19</v>
      </c>
      <c r="C253" s="113" t="s">
        <v>30</v>
      </c>
      <c r="D253" s="12">
        <v>2</v>
      </c>
      <c r="E253" s="104" t="s">
        <v>22</v>
      </c>
      <c r="F253" s="104" t="s">
        <v>30</v>
      </c>
      <c r="G253" s="12">
        <v>5</v>
      </c>
      <c r="H253" s="12">
        <v>1</v>
      </c>
      <c r="I253" s="104" t="s">
        <v>22</v>
      </c>
      <c r="J253" s="104" t="s">
        <v>54</v>
      </c>
      <c r="K253" s="12"/>
      <c r="L253" s="16"/>
      <c r="M253" s="33"/>
      <c r="N253" s="129" t="s">
        <v>68</v>
      </c>
      <c r="O253" s="87">
        <f>O254</f>
        <v>95689700</v>
      </c>
      <c r="P253" s="87">
        <f>P254</f>
        <v>36800480</v>
      </c>
      <c r="Q253" s="87">
        <f>Q254</f>
        <v>45835350</v>
      </c>
      <c r="R253" s="82">
        <f t="shared" si="107"/>
        <v>82635830</v>
      </c>
      <c r="S253" s="82">
        <f>'SPJ FUNGSIONAL '!V259</f>
        <v>74650480</v>
      </c>
      <c r="T253" s="87">
        <f>T254</f>
        <v>7985350</v>
      </c>
      <c r="U253" s="82">
        <f t="shared" si="108"/>
        <v>82635830</v>
      </c>
      <c r="V253" s="82">
        <f t="shared" si="109"/>
        <v>13053870</v>
      </c>
      <c r="W253" s="82"/>
      <c r="X253" s="82">
        <f t="shared" si="110"/>
        <v>0</v>
      </c>
      <c r="Y253" s="207">
        <f t="shared" si="112"/>
        <v>0.86358124228626487</v>
      </c>
    </row>
    <row r="254" spans="1:25" s="3" customFormat="1" ht="39.75" customHeight="1">
      <c r="A254" s="65">
        <v>7</v>
      </c>
      <c r="B254" s="113" t="s">
        <v>19</v>
      </c>
      <c r="C254" s="113" t="s">
        <v>30</v>
      </c>
      <c r="D254" s="12">
        <v>2</v>
      </c>
      <c r="E254" s="104" t="s">
        <v>22</v>
      </c>
      <c r="F254" s="104" t="s">
        <v>30</v>
      </c>
      <c r="G254" s="12">
        <v>5</v>
      </c>
      <c r="H254" s="12">
        <v>1</v>
      </c>
      <c r="I254" s="104" t="s">
        <v>22</v>
      </c>
      <c r="J254" s="104" t="s">
        <v>54</v>
      </c>
      <c r="K254" s="104" t="s">
        <v>19</v>
      </c>
      <c r="L254" s="16"/>
      <c r="M254" s="33"/>
      <c r="N254" s="129" t="s">
        <v>69</v>
      </c>
      <c r="O254" s="87">
        <f>SUM(O255:O256)</f>
        <v>95689700</v>
      </c>
      <c r="P254" s="87">
        <f>SUM(P255:P256)</f>
        <v>36800480</v>
      </c>
      <c r="Q254" s="87">
        <f>SUM(Q255:Q256)</f>
        <v>45835350</v>
      </c>
      <c r="R254" s="82">
        <f t="shared" si="107"/>
        <v>82635830</v>
      </c>
      <c r="S254" s="82">
        <f>'SPJ FUNGSIONAL '!V260</f>
        <v>74650480</v>
      </c>
      <c r="T254" s="87">
        <f>SUM(T255:T256)</f>
        <v>7985350</v>
      </c>
      <c r="U254" s="82">
        <f t="shared" si="108"/>
        <v>82635830</v>
      </c>
      <c r="V254" s="82">
        <f t="shared" si="109"/>
        <v>13053870</v>
      </c>
      <c r="W254" s="82"/>
      <c r="X254" s="82">
        <f t="shared" si="110"/>
        <v>0</v>
      </c>
      <c r="Y254" s="207">
        <f t="shared" si="112"/>
        <v>0.86358124228626487</v>
      </c>
    </row>
    <row r="255" spans="1:25" s="3" customFormat="1" ht="39.75" customHeight="1">
      <c r="A255" s="67">
        <v>7</v>
      </c>
      <c r="B255" s="114" t="s">
        <v>19</v>
      </c>
      <c r="C255" s="114" t="s">
        <v>30</v>
      </c>
      <c r="D255" s="16">
        <v>2</v>
      </c>
      <c r="E255" s="105" t="s">
        <v>22</v>
      </c>
      <c r="F255" s="105" t="s">
        <v>30</v>
      </c>
      <c r="G255" s="16">
        <v>5</v>
      </c>
      <c r="H255" s="16">
        <v>1</v>
      </c>
      <c r="I255" s="105" t="s">
        <v>22</v>
      </c>
      <c r="J255" s="105" t="s">
        <v>54</v>
      </c>
      <c r="K255" s="105" t="s">
        <v>19</v>
      </c>
      <c r="L255" s="105" t="s">
        <v>27</v>
      </c>
      <c r="M255" s="119" t="s">
        <v>10</v>
      </c>
      <c r="N255" s="128" t="s">
        <v>70</v>
      </c>
      <c r="O255" s="84">
        <f>'SPJ FUNGSIONAL '!O261</f>
        <v>62089700</v>
      </c>
      <c r="P255" s="81">
        <f>'[1]LRA SP2D'!$R$255</f>
        <v>17150480</v>
      </c>
      <c r="Q255" s="81">
        <v>38235350</v>
      </c>
      <c r="R255" s="81">
        <f t="shared" si="107"/>
        <v>55385830</v>
      </c>
      <c r="S255" s="81">
        <f>'SPJ FUNGSIONAL '!V261</f>
        <v>55000480</v>
      </c>
      <c r="T255" s="81">
        <f>'SPJ FUNGSIONAL '!W261</f>
        <v>385350</v>
      </c>
      <c r="U255" s="81">
        <f t="shared" si="108"/>
        <v>55385830</v>
      </c>
      <c r="V255" s="81">
        <f t="shared" si="109"/>
        <v>6703870</v>
      </c>
      <c r="W255" s="81"/>
      <c r="X255" s="81">
        <f t="shared" si="110"/>
        <v>0</v>
      </c>
      <c r="Y255" s="207">
        <f t="shared" si="112"/>
        <v>0.89202927377648789</v>
      </c>
    </row>
    <row r="256" spans="1:25" s="3" customFormat="1" ht="39.75" customHeight="1">
      <c r="A256" s="67">
        <v>7</v>
      </c>
      <c r="B256" s="114" t="s">
        <v>19</v>
      </c>
      <c r="C256" s="114" t="s">
        <v>30</v>
      </c>
      <c r="D256" s="16">
        <v>2</v>
      </c>
      <c r="E256" s="105" t="s">
        <v>22</v>
      </c>
      <c r="F256" s="105" t="s">
        <v>30</v>
      </c>
      <c r="G256" s="16">
        <v>5</v>
      </c>
      <c r="H256" s="16">
        <v>1</v>
      </c>
      <c r="I256" s="105" t="s">
        <v>22</v>
      </c>
      <c r="J256" s="105" t="s">
        <v>54</v>
      </c>
      <c r="K256" s="105" t="s">
        <v>19</v>
      </c>
      <c r="L256" s="105" t="s">
        <v>27</v>
      </c>
      <c r="M256" s="33">
        <v>3</v>
      </c>
      <c r="N256" s="128" t="s">
        <v>117</v>
      </c>
      <c r="O256" s="84">
        <f>'SPJ FUNGSIONAL '!O262</f>
        <v>33600000</v>
      </c>
      <c r="P256" s="81">
        <f>'[1]LRA SP2D'!$R$256</f>
        <v>19650000</v>
      </c>
      <c r="Q256" s="81">
        <v>7600000</v>
      </c>
      <c r="R256" s="81">
        <f t="shared" si="107"/>
        <v>27250000</v>
      </c>
      <c r="S256" s="81">
        <f>'SPJ FUNGSIONAL '!V262</f>
        <v>19650000</v>
      </c>
      <c r="T256" s="81">
        <f>'SPJ FUNGSIONAL '!W262</f>
        <v>7600000</v>
      </c>
      <c r="U256" s="81">
        <f t="shared" si="108"/>
        <v>27250000</v>
      </c>
      <c r="V256" s="81">
        <f t="shared" si="109"/>
        <v>6350000</v>
      </c>
      <c r="W256" s="81"/>
      <c r="X256" s="81">
        <f t="shared" si="110"/>
        <v>0</v>
      </c>
      <c r="Y256" s="207">
        <f t="shared" si="112"/>
        <v>0.81101190476190477</v>
      </c>
    </row>
    <row r="257" spans="1:25" s="3" customFormat="1" ht="48" customHeight="1">
      <c r="A257" s="65">
        <v>7</v>
      </c>
      <c r="B257" s="113" t="s">
        <v>19</v>
      </c>
      <c r="C257" s="113" t="s">
        <v>30</v>
      </c>
      <c r="D257" s="12">
        <v>2</v>
      </c>
      <c r="E257" s="104" t="s">
        <v>22</v>
      </c>
      <c r="F257" s="104" t="s">
        <v>30</v>
      </c>
      <c r="G257" s="12">
        <v>5</v>
      </c>
      <c r="H257" s="12">
        <v>1</v>
      </c>
      <c r="I257" s="104" t="s">
        <v>22</v>
      </c>
      <c r="J257" s="104" t="s">
        <v>32</v>
      </c>
      <c r="K257" s="12"/>
      <c r="L257" s="16"/>
      <c r="M257" s="33"/>
      <c r="N257" s="129" t="s">
        <v>118</v>
      </c>
      <c r="O257" s="87">
        <f>O258</f>
        <v>11100000</v>
      </c>
      <c r="P257" s="87">
        <f t="shared" ref="P257:Q257" si="118">P258</f>
        <v>5500000</v>
      </c>
      <c r="Q257" s="87">
        <f t="shared" si="118"/>
        <v>5600000</v>
      </c>
      <c r="R257" s="82">
        <f t="shared" si="107"/>
        <v>11100000</v>
      </c>
      <c r="S257" s="87">
        <f t="shared" ref="S257:T258" si="119">S258</f>
        <v>7100000</v>
      </c>
      <c r="T257" s="87">
        <f t="shared" si="119"/>
        <v>4000000</v>
      </c>
      <c r="U257" s="82">
        <f t="shared" si="108"/>
        <v>11100000</v>
      </c>
      <c r="V257" s="82">
        <f t="shared" si="109"/>
        <v>0</v>
      </c>
      <c r="W257" s="82"/>
      <c r="X257" s="82">
        <f t="shared" si="110"/>
        <v>0</v>
      </c>
      <c r="Y257" s="209">
        <f t="shared" si="112"/>
        <v>1</v>
      </c>
    </row>
    <row r="258" spans="1:25" s="3" customFormat="1" ht="46.5" customHeight="1">
      <c r="A258" s="65">
        <v>7</v>
      </c>
      <c r="B258" s="113" t="s">
        <v>19</v>
      </c>
      <c r="C258" s="113" t="s">
        <v>30</v>
      </c>
      <c r="D258" s="12">
        <v>2</v>
      </c>
      <c r="E258" s="104" t="s">
        <v>22</v>
      </c>
      <c r="F258" s="104" t="s">
        <v>30</v>
      </c>
      <c r="G258" s="12">
        <v>5</v>
      </c>
      <c r="H258" s="12">
        <v>1</v>
      </c>
      <c r="I258" s="104" t="s">
        <v>22</v>
      </c>
      <c r="J258" s="104" t="s">
        <v>32</v>
      </c>
      <c r="K258" s="104" t="s">
        <v>19</v>
      </c>
      <c r="L258" s="16"/>
      <c r="M258" s="33"/>
      <c r="N258" s="129" t="s">
        <v>119</v>
      </c>
      <c r="O258" s="84">
        <f>O259</f>
        <v>11100000</v>
      </c>
      <c r="P258" s="82">
        <f>'[1]LRA SP2D'!$R$258</f>
        <v>5500000</v>
      </c>
      <c r="Q258" s="82">
        <f>Q259</f>
        <v>5600000</v>
      </c>
      <c r="R258" s="82">
        <f t="shared" si="107"/>
        <v>11100000</v>
      </c>
      <c r="S258" s="87">
        <f t="shared" si="119"/>
        <v>7100000</v>
      </c>
      <c r="T258" s="87">
        <f>T259</f>
        <v>4000000</v>
      </c>
      <c r="U258" s="82">
        <f t="shared" si="108"/>
        <v>11100000</v>
      </c>
      <c r="V258" s="81">
        <f t="shared" si="109"/>
        <v>0</v>
      </c>
      <c r="W258" s="81"/>
      <c r="X258" s="81">
        <f t="shared" si="110"/>
        <v>0</v>
      </c>
      <c r="Y258" s="207">
        <f t="shared" si="112"/>
        <v>1</v>
      </c>
    </row>
    <row r="259" spans="1:25" s="3" customFormat="1" ht="39.75" customHeight="1">
      <c r="A259" s="67">
        <v>7</v>
      </c>
      <c r="B259" s="114" t="s">
        <v>19</v>
      </c>
      <c r="C259" s="114" t="s">
        <v>30</v>
      </c>
      <c r="D259" s="16">
        <v>2</v>
      </c>
      <c r="E259" s="105" t="s">
        <v>22</v>
      </c>
      <c r="F259" s="105" t="s">
        <v>30</v>
      </c>
      <c r="G259" s="16">
        <v>5</v>
      </c>
      <c r="H259" s="16">
        <v>1</v>
      </c>
      <c r="I259" s="105" t="s">
        <v>22</v>
      </c>
      <c r="J259" s="105" t="s">
        <v>32</v>
      </c>
      <c r="K259" s="105" t="s">
        <v>19</v>
      </c>
      <c r="L259" s="105" t="s">
        <v>27</v>
      </c>
      <c r="M259" s="33">
        <v>1</v>
      </c>
      <c r="N259" s="128" t="s">
        <v>139</v>
      </c>
      <c r="O259" s="84">
        <f>'SPJ FUNGSIONAL '!O265</f>
        <v>11100000</v>
      </c>
      <c r="P259" s="81">
        <f>'[1]LRA SP2D'!$R$259</f>
        <v>5500000</v>
      </c>
      <c r="Q259" s="81">
        <v>5600000</v>
      </c>
      <c r="R259" s="81">
        <f t="shared" si="107"/>
        <v>11100000</v>
      </c>
      <c r="S259" s="81">
        <f>'[1]LRA SP2D'!$U$259</f>
        <v>7100000</v>
      </c>
      <c r="T259" s="81">
        <f>'SPJ FUNGSIONAL '!W265</f>
        <v>4000000</v>
      </c>
      <c r="U259" s="81">
        <f t="shared" si="108"/>
        <v>11100000</v>
      </c>
      <c r="V259" s="81">
        <f t="shared" si="109"/>
        <v>0</v>
      </c>
      <c r="W259" s="81"/>
      <c r="X259" s="81">
        <f t="shared" si="110"/>
        <v>0</v>
      </c>
      <c r="Y259" s="207">
        <f t="shared" si="112"/>
        <v>1</v>
      </c>
    </row>
    <row r="260" spans="1:25" s="3" customFormat="1" ht="25" customHeight="1">
      <c r="A260" s="7"/>
      <c r="B260" s="8"/>
      <c r="C260" s="8"/>
      <c r="D260" s="88"/>
      <c r="E260" s="88"/>
      <c r="F260" s="88"/>
      <c r="G260" s="88"/>
      <c r="H260" s="88"/>
      <c r="I260" s="88"/>
      <c r="J260" s="88"/>
      <c r="K260" s="88"/>
      <c r="L260" s="90"/>
      <c r="M260" s="91"/>
      <c r="N260" s="129"/>
      <c r="O260" s="84"/>
      <c r="P260" s="81"/>
      <c r="Q260" s="81"/>
      <c r="R260" s="81">
        <f t="shared" si="107"/>
        <v>0</v>
      </c>
      <c r="S260" s="81"/>
      <c r="T260" s="81"/>
      <c r="U260" s="81">
        <f t="shared" si="108"/>
        <v>0</v>
      </c>
      <c r="V260" s="81">
        <f t="shared" si="109"/>
        <v>0</v>
      </c>
      <c r="W260" s="81">
        <f t="shared" ref="W260:W268" si="120">R260-U260</f>
        <v>0</v>
      </c>
      <c r="X260" s="81">
        <f t="shared" si="110"/>
        <v>0</v>
      </c>
      <c r="Y260" s="207"/>
    </row>
    <row r="261" spans="1:25" s="3" customFormat="1" ht="43.5" customHeight="1">
      <c r="A261" s="58">
        <v>7</v>
      </c>
      <c r="B261" s="110" t="s">
        <v>19</v>
      </c>
      <c r="C261" s="110" t="s">
        <v>30</v>
      </c>
      <c r="D261" s="110" t="s">
        <v>64</v>
      </c>
      <c r="E261" s="110" t="s">
        <v>30</v>
      </c>
      <c r="F261" s="59"/>
      <c r="G261" s="59"/>
      <c r="H261" s="59"/>
      <c r="I261" s="59"/>
      <c r="J261" s="59"/>
      <c r="K261" s="59"/>
      <c r="L261" s="59"/>
      <c r="M261" s="77"/>
      <c r="N261" s="25" t="s">
        <v>140</v>
      </c>
      <c r="O261" s="92">
        <f>O263</f>
        <v>2168741000</v>
      </c>
      <c r="P261" s="92">
        <f>P263</f>
        <v>1802005250</v>
      </c>
      <c r="Q261" s="92">
        <f>Q263</f>
        <v>258933750</v>
      </c>
      <c r="R261" s="163">
        <f t="shared" si="107"/>
        <v>2060939000</v>
      </c>
      <c r="S261" s="92">
        <f>S263</f>
        <v>1802005250</v>
      </c>
      <c r="T261" s="92">
        <f>T263</f>
        <v>360933750</v>
      </c>
      <c r="U261" s="163">
        <f t="shared" si="108"/>
        <v>2162939000</v>
      </c>
      <c r="V261" s="163">
        <f t="shared" si="109"/>
        <v>5802000</v>
      </c>
      <c r="W261" s="163"/>
      <c r="X261" s="163">
        <f t="shared" si="110"/>
        <v>-102000000</v>
      </c>
      <c r="Y261" s="211">
        <f t="shared" si="112"/>
        <v>0.99732471512273713</v>
      </c>
    </row>
    <row r="262" spans="1:25" s="3" customFormat="1" ht="25" customHeight="1">
      <c r="A262" s="60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79"/>
      <c r="N262" s="125"/>
      <c r="O262" s="23"/>
      <c r="P262" s="121"/>
      <c r="Q262" s="121"/>
      <c r="R262" s="82"/>
      <c r="S262" s="121"/>
      <c r="T262" s="121"/>
      <c r="U262" s="82"/>
      <c r="V262" s="82"/>
      <c r="W262" s="82"/>
      <c r="X262" s="82"/>
      <c r="Y262" s="209"/>
    </row>
    <row r="263" spans="1:25" s="3" customFormat="1" ht="40.5" customHeight="1">
      <c r="A263" s="62">
        <v>7</v>
      </c>
      <c r="B263" s="111" t="s">
        <v>19</v>
      </c>
      <c r="C263" s="111" t="s">
        <v>30</v>
      </c>
      <c r="D263" s="14">
        <v>2</v>
      </c>
      <c r="E263" s="103" t="s">
        <v>30</v>
      </c>
      <c r="F263" s="103" t="s">
        <v>19</v>
      </c>
      <c r="G263" s="89"/>
      <c r="H263" s="89"/>
      <c r="I263" s="89"/>
      <c r="J263" s="89"/>
      <c r="K263" s="89"/>
      <c r="L263" s="89"/>
      <c r="M263" s="93"/>
      <c r="N263" s="321" t="s">
        <v>269</v>
      </c>
      <c r="O263" s="32">
        <f>O264</f>
        <v>2168741000</v>
      </c>
      <c r="P263" s="32">
        <f t="shared" ref="P263:V263" si="121">P264</f>
        <v>1802005250</v>
      </c>
      <c r="Q263" s="32">
        <f t="shared" si="121"/>
        <v>258933750</v>
      </c>
      <c r="R263" s="32">
        <f t="shared" si="121"/>
        <v>2060939000</v>
      </c>
      <c r="S263" s="32">
        <f t="shared" si="121"/>
        <v>1802005250</v>
      </c>
      <c r="T263" s="32">
        <f t="shared" si="121"/>
        <v>360933750</v>
      </c>
      <c r="U263" s="32">
        <f t="shared" si="121"/>
        <v>2162939000</v>
      </c>
      <c r="V263" s="32">
        <f t="shared" si="121"/>
        <v>5802000</v>
      </c>
      <c r="W263" s="165"/>
      <c r="X263" s="165">
        <f t="shared" si="110"/>
        <v>-102000000</v>
      </c>
      <c r="Y263" s="213">
        <f t="shared" si="112"/>
        <v>0.99732471512273713</v>
      </c>
    </row>
    <row r="264" spans="1:25" s="3" customFormat="1" ht="40.5" customHeight="1">
      <c r="A264" s="65">
        <v>7</v>
      </c>
      <c r="B264" s="113" t="s">
        <v>19</v>
      </c>
      <c r="C264" s="113" t="s">
        <v>30</v>
      </c>
      <c r="D264" s="12">
        <v>2</v>
      </c>
      <c r="E264" s="104" t="s">
        <v>30</v>
      </c>
      <c r="F264" s="104" t="s">
        <v>19</v>
      </c>
      <c r="G264" s="12">
        <v>5</v>
      </c>
      <c r="H264" s="12">
        <v>1</v>
      </c>
      <c r="I264" s="104" t="s">
        <v>22</v>
      </c>
      <c r="J264" s="12"/>
      <c r="K264" s="12"/>
      <c r="L264" s="16"/>
      <c r="M264" s="33"/>
      <c r="N264" s="129" t="s">
        <v>123</v>
      </c>
      <c r="O264" s="87">
        <f>O265+O270</f>
        <v>2168741000</v>
      </c>
      <c r="P264" s="87">
        <f t="shared" ref="P264:V264" si="122">P265+P270</f>
        <v>1802005250</v>
      </c>
      <c r="Q264" s="87">
        <f t="shared" si="122"/>
        <v>258933750</v>
      </c>
      <c r="R264" s="87">
        <f t="shared" si="122"/>
        <v>2060939000</v>
      </c>
      <c r="S264" s="87">
        <f t="shared" si="122"/>
        <v>1802005250</v>
      </c>
      <c r="T264" s="87">
        <f t="shared" si="122"/>
        <v>360933750</v>
      </c>
      <c r="U264" s="87">
        <f t="shared" si="122"/>
        <v>2162939000</v>
      </c>
      <c r="V264" s="87">
        <f t="shared" si="122"/>
        <v>5802000</v>
      </c>
      <c r="W264" s="82"/>
      <c r="X264" s="82">
        <f t="shared" si="110"/>
        <v>-102000000</v>
      </c>
      <c r="Y264" s="209">
        <f t="shared" si="112"/>
        <v>0.99732471512273713</v>
      </c>
    </row>
    <row r="265" spans="1:25" s="3" customFormat="1" ht="40.5" customHeight="1">
      <c r="A265" s="65">
        <v>7</v>
      </c>
      <c r="B265" s="113" t="s">
        <v>19</v>
      </c>
      <c r="C265" s="113" t="s">
        <v>30</v>
      </c>
      <c r="D265" s="12">
        <v>2</v>
      </c>
      <c r="E265" s="104" t="s">
        <v>30</v>
      </c>
      <c r="F265" s="104" t="s">
        <v>19</v>
      </c>
      <c r="G265" s="12">
        <v>5</v>
      </c>
      <c r="H265" s="12">
        <v>1</v>
      </c>
      <c r="I265" s="104" t="s">
        <v>22</v>
      </c>
      <c r="J265" s="104" t="s">
        <v>19</v>
      </c>
      <c r="K265" s="12"/>
      <c r="L265" s="16"/>
      <c r="M265" s="33"/>
      <c r="N265" s="129" t="s">
        <v>65</v>
      </c>
      <c r="O265" s="87">
        <f>O266</f>
        <v>26741000</v>
      </c>
      <c r="P265" s="87">
        <f>P266</f>
        <v>17305250</v>
      </c>
      <c r="Q265" s="87">
        <f>Q266</f>
        <v>3933750</v>
      </c>
      <c r="R265" s="82">
        <f t="shared" si="107"/>
        <v>21239000</v>
      </c>
      <c r="S265" s="87">
        <f>S266</f>
        <v>17305250</v>
      </c>
      <c r="T265" s="87">
        <f>T266</f>
        <v>3933750</v>
      </c>
      <c r="U265" s="82">
        <f t="shared" si="108"/>
        <v>21239000</v>
      </c>
      <c r="V265" s="82">
        <f t="shared" si="109"/>
        <v>5502000</v>
      </c>
      <c r="W265" s="82"/>
      <c r="X265" s="82">
        <f t="shared" si="110"/>
        <v>0</v>
      </c>
      <c r="Y265" s="209">
        <f t="shared" si="112"/>
        <v>0.79424853221644665</v>
      </c>
    </row>
    <row r="266" spans="1:25" s="3" customFormat="1" ht="40.5" customHeight="1">
      <c r="A266" s="65">
        <v>7</v>
      </c>
      <c r="B266" s="113" t="s">
        <v>19</v>
      </c>
      <c r="C266" s="113" t="s">
        <v>30</v>
      </c>
      <c r="D266" s="12">
        <v>2</v>
      </c>
      <c r="E266" s="104" t="s">
        <v>30</v>
      </c>
      <c r="F266" s="104" t="s">
        <v>19</v>
      </c>
      <c r="G266" s="12">
        <v>5</v>
      </c>
      <c r="H266" s="12">
        <v>1</v>
      </c>
      <c r="I266" s="104" t="s">
        <v>22</v>
      </c>
      <c r="J266" s="104" t="s">
        <v>19</v>
      </c>
      <c r="K266" s="104" t="s">
        <v>19</v>
      </c>
      <c r="L266" s="16"/>
      <c r="M266" s="33"/>
      <c r="N266" s="129" t="s">
        <v>51</v>
      </c>
      <c r="O266" s="87">
        <f>SUM(O267:O269)</f>
        <v>26741000</v>
      </c>
      <c r="P266" s="87">
        <f>SUM(P267:P269)</f>
        <v>17305250</v>
      </c>
      <c r="Q266" s="87">
        <f>SUM(Q267:Q269)</f>
        <v>3933750</v>
      </c>
      <c r="R266" s="82">
        <f t="shared" si="107"/>
        <v>21239000</v>
      </c>
      <c r="S266" s="87">
        <f>SUM(S267:S269)</f>
        <v>17305250</v>
      </c>
      <c r="T266" s="87">
        <f>SUM(T267:T269)</f>
        <v>3933750</v>
      </c>
      <c r="U266" s="82">
        <f t="shared" si="108"/>
        <v>21239000</v>
      </c>
      <c r="V266" s="82">
        <f t="shared" si="109"/>
        <v>5502000</v>
      </c>
      <c r="W266" s="82"/>
      <c r="X266" s="82">
        <f t="shared" si="110"/>
        <v>0</v>
      </c>
      <c r="Y266" s="209">
        <f t="shared" si="112"/>
        <v>0.79424853221644665</v>
      </c>
    </row>
    <row r="267" spans="1:25" s="3" customFormat="1" ht="40.5" customHeight="1">
      <c r="A267" s="67">
        <v>7</v>
      </c>
      <c r="B267" s="114" t="s">
        <v>19</v>
      </c>
      <c r="C267" s="114" t="s">
        <v>30</v>
      </c>
      <c r="D267" s="16">
        <v>2</v>
      </c>
      <c r="E267" s="105" t="s">
        <v>30</v>
      </c>
      <c r="F267" s="105" t="s">
        <v>19</v>
      </c>
      <c r="G267" s="16">
        <v>5</v>
      </c>
      <c r="H267" s="16">
        <v>1</v>
      </c>
      <c r="I267" s="105" t="s">
        <v>22</v>
      </c>
      <c r="J267" s="105" t="s">
        <v>19</v>
      </c>
      <c r="K267" s="105" t="s">
        <v>19</v>
      </c>
      <c r="L267" s="105" t="s">
        <v>56</v>
      </c>
      <c r="M267" s="119" t="s">
        <v>11</v>
      </c>
      <c r="N267" s="34" t="s">
        <v>132</v>
      </c>
      <c r="O267" s="84">
        <f>'SPJ FUNGSIONAL '!O273</f>
        <v>41000</v>
      </c>
      <c r="P267" s="81">
        <f>'[1]LRA SP2D'!$R$267</f>
        <v>41000</v>
      </c>
      <c r="Q267" s="81"/>
      <c r="R267" s="81">
        <f t="shared" si="107"/>
        <v>41000</v>
      </c>
      <c r="S267" s="81">
        <f>'SPJ FUNGSIONAL '!V273</f>
        <v>41000</v>
      </c>
      <c r="T267" s="81">
        <f>'SPJ FUNGSIONAL '!W273</f>
        <v>0</v>
      </c>
      <c r="U267" s="81">
        <f t="shared" si="108"/>
        <v>41000</v>
      </c>
      <c r="V267" s="81">
        <f t="shared" si="109"/>
        <v>0</v>
      </c>
      <c r="W267" s="81">
        <f t="shared" si="120"/>
        <v>0</v>
      </c>
      <c r="X267" s="81">
        <f t="shared" si="110"/>
        <v>0</v>
      </c>
      <c r="Y267" s="207">
        <f t="shared" si="112"/>
        <v>1</v>
      </c>
    </row>
    <row r="268" spans="1:25" s="3" customFormat="1" ht="40.5" customHeight="1">
      <c r="A268" s="67">
        <v>7</v>
      </c>
      <c r="B268" s="114" t="s">
        <v>19</v>
      </c>
      <c r="C268" s="114" t="s">
        <v>30</v>
      </c>
      <c r="D268" s="16">
        <v>2</v>
      </c>
      <c r="E268" s="105" t="s">
        <v>30</v>
      </c>
      <c r="F268" s="105" t="s">
        <v>19</v>
      </c>
      <c r="G268" s="16">
        <v>5</v>
      </c>
      <c r="H268" s="16">
        <v>1</v>
      </c>
      <c r="I268" s="105" t="s">
        <v>22</v>
      </c>
      <c r="J268" s="105" t="s">
        <v>19</v>
      </c>
      <c r="K268" s="105" t="s">
        <v>19</v>
      </c>
      <c r="L268" s="105" t="s">
        <v>56</v>
      </c>
      <c r="M268" s="33">
        <v>6</v>
      </c>
      <c r="N268" s="34" t="s">
        <v>134</v>
      </c>
      <c r="O268" s="84">
        <f>'SPJ FUNGSIONAL '!O274</f>
        <v>35000</v>
      </c>
      <c r="P268" s="81">
        <f>'[1]LRA SP2D'!$R$268</f>
        <v>25000</v>
      </c>
      <c r="Q268" s="81"/>
      <c r="R268" s="81">
        <f t="shared" si="107"/>
        <v>25000</v>
      </c>
      <c r="S268" s="81">
        <f>'SPJ FUNGSIONAL '!V274</f>
        <v>25000</v>
      </c>
      <c r="T268" s="81">
        <f>'SPJ FUNGSIONAL '!W274</f>
        <v>0</v>
      </c>
      <c r="U268" s="81">
        <f t="shared" si="108"/>
        <v>25000</v>
      </c>
      <c r="V268" s="81">
        <f t="shared" si="109"/>
        <v>10000</v>
      </c>
      <c r="W268" s="81">
        <f t="shared" si="120"/>
        <v>0</v>
      </c>
      <c r="X268" s="81">
        <f t="shared" si="110"/>
        <v>0</v>
      </c>
      <c r="Y268" s="207">
        <f t="shared" si="112"/>
        <v>0.7142857142857143</v>
      </c>
    </row>
    <row r="269" spans="1:25" s="3" customFormat="1" ht="40.5" customHeight="1">
      <c r="A269" s="67">
        <v>7</v>
      </c>
      <c r="B269" s="114" t="s">
        <v>19</v>
      </c>
      <c r="C269" s="114" t="s">
        <v>30</v>
      </c>
      <c r="D269" s="16">
        <v>2</v>
      </c>
      <c r="E269" s="105" t="s">
        <v>30</v>
      </c>
      <c r="F269" s="105" t="s">
        <v>19</v>
      </c>
      <c r="G269" s="16">
        <v>5</v>
      </c>
      <c r="H269" s="16">
        <v>1</v>
      </c>
      <c r="I269" s="105" t="s">
        <v>22</v>
      </c>
      <c r="J269" s="105" t="s">
        <v>19</v>
      </c>
      <c r="K269" s="105" t="s">
        <v>19</v>
      </c>
      <c r="L269" s="105" t="s">
        <v>66</v>
      </c>
      <c r="M269" s="33">
        <v>2</v>
      </c>
      <c r="N269" s="34" t="s">
        <v>126</v>
      </c>
      <c r="O269" s="84">
        <f>'SPJ FUNGSIONAL '!O275</f>
        <v>26665000</v>
      </c>
      <c r="P269" s="81">
        <f>'[1]LRA SP2D'!$R$269</f>
        <v>17239250</v>
      </c>
      <c r="Q269" s="81">
        <f>T269</f>
        <v>3933750</v>
      </c>
      <c r="R269" s="81">
        <f t="shared" si="107"/>
        <v>21173000</v>
      </c>
      <c r="S269" s="81">
        <f>'SPJ FUNGSIONAL '!V275</f>
        <v>17239250</v>
      </c>
      <c r="T269" s="81">
        <f>'SPJ FUNGSIONAL '!W275</f>
        <v>3933750</v>
      </c>
      <c r="U269" s="81">
        <f t="shared" si="108"/>
        <v>21173000</v>
      </c>
      <c r="V269" s="81">
        <f t="shared" si="109"/>
        <v>5492000</v>
      </c>
      <c r="W269" s="81"/>
      <c r="X269" s="81">
        <f t="shared" si="110"/>
        <v>0</v>
      </c>
      <c r="Y269" s="207">
        <f t="shared" si="112"/>
        <v>0.7940371273204575</v>
      </c>
    </row>
    <row r="270" spans="1:25" s="3" customFormat="1" ht="40.5" customHeight="1">
      <c r="A270" s="65">
        <v>7</v>
      </c>
      <c r="B270" s="113" t="s">
        <v>19</v>
      </c>
      <c r="C270" s="113" t="s">
        <v>30</v>
      </c>
      <c r="D270" s="12">
        <v>2</v>
      </c>
      <c r="E270" s="104" t="s">
        <v>30</v>
      </c>
      <c r="F270" s="104" t="s">
        <v>19</v>
      </c>
      <c r="G270" s="12">
        <v>5</v>
      </c>
      <c r="H270" s="12">
        <v>1</v>
      </c>
      <c r="I270" s="104" t="s">
        <v>22</v>
      </c>
      <c r="J270" s="104" t="s">
        <v>22</v>
      </c>
      <c r="K270" s="12"/>
      <c r="L270" s="16"/>
      <c r="M270" s="33"/>
      <c r="N270" s="129" t="s">
        <v>75</v>
      </c>
      <c r="O270" s="87">
        <f>O271</f>
        <v>2142000000</v>
      </c>
      <c r="P270" s="87">
        <f>P271</f>
        <v>1784700000</v>
      </c>
      <c r="Q270" s="87">
        <f>Q271</f>
        <v>255000000</v>
      </c>
      <c r="R270" s="82">
        <f t="shared" si="107"/>
        <v>2039700000</v>
      </c>
      <c r="S270" s="87">
        <f>S271</f>
        <v>1784700000</v>
      </c>
      <c r="T270" s="87">
        <f>T271</f>
        <v>357000000</v>
      </c>
      <c r="U270" s="82">
        <f t="shared" si="108"/>
        <v>2141700000</v>
      </c>
      <c r="V270" s="82">
        <f t="shared" si="109"/>
        <v>300000</v>
      </c>
      <c r="W270" s="82"/>
      <c r="X270" s="82">
        <f t="shared" si="110"/>
        <v>-102000000</v>
      </c>
      <c r="Y270" s="209">
        <f t="shared" si="112"/>
        <v>0.99985994397759104</v>
      </c>
    </row>
    <row r="271" spans="1:25" s="3" customFormat="1" ht="40.5" customHeight="1">
      <c r="A271" s="65">
        <v>7</v>
      </c>
      <c r="B271" s="113" t="s">
        <v>19</v>
      </c>
      <c r="C271" s="113" t="s">
        <v>30</v>
      </c>
      <c r="D271" s="12">
        <v>2</v>
      </c>
      <c r="E271" s="104" t="s">
        <v>30</v>
      </c>
      <c r="F271" s="104" t="s">
        <v>19</v>
      </c>
      <c r="G271" s="12">
        <v>5</v>
      </c>
      <c r="H271" s="12">
        <v>1</v>
      </c>
      <c r="I271" s="104" t="s">
        <v>22</v>
      </c>
      <c r="J271" s="104" t="s">
        <v>22</v>
      </c>
      <c r="K271" s="104" t="s">
        <v>19</v>
      </c>
      <c r="L271" s="16"/>
      <c r="M271" s="33"/>
      <c r="N271" s="129" t="s">
        <v>114</v>
      </c>
      <c r="O271" s="87">
        <f>SUM(O272:O272)</f>
        <v>2142000000</v>
      </c>
      <c r="P271" s="87">
        <f>SUM(P272:P272)</f>
        <v>1784700000</v>
      </c>
      <c r="Q271" s="87">
        <f>SUM(Q272:Q272)</f>
        <v>255000000</v>
      </c>
      <c r="R271" s="82">
        <f t="shared" si="107"/>
        <v>2039700000</v>
      </c>
      <c r="S271" s="87">
        <f>SUM(S272:S272)</f>
        <v>1784700000</v>
      </c>
      <c r="T271" s="87">
        <f>SUM(T272:T272)</f>
        <v>357000000</v>
      </c>
      <c r="U271" s="82">
        <f t="shared" si="108"/>
        <v>2141700000</v>
      </c>
      <c r="V271" s="82">
        <f t="shared" si="109"/>
        <v>300000</v>
      </c>
      <c r="W271" s="82"/>
      <c r="X271" s="82">
        <f t="shared" si="110"/>
        <v>-102000000</v>
      </c>
      <c r="Y271" s="209">
        <f t="shared" si="112"/>
        <v>0.99985994397759104</v>
      </c>
    </row>
    <row r="272" spans="1:25" s="3" customFormat="1" ht="40.5" customHeight="1">
      <c r="A272" s="67">
        <v>7</v>
      </c>
      <c r="B272" s="114" t="s">
        <v>19</v>
      </c>
      <c r="C272" s="114" t="s">
        <v>30</v>
      </c>
      <c r="D272" s="16">
        <v>2</v>
      </c>
      <c r="E272" s="105" t="s">
        <v>30</v>
      </c>
      <c r="F272" s="105" t="s">
        <v>19</v>
      </c>
      <c r="G272" s="16">
        <v>5</v>
      </c>
      <c r="H272" s="16">
        <v>1</v>
      </c>
      <c r="I272" s="105" t="s">
        <v>22</v>
      </c>
      <c r="J272" s="105" t="s">
        <v>22</v>
      </c>
      <c r="K272" s="105" t="s">
        <v>19</v>
      </c>
      <c r="L272" s="105" t="s">
        <v>27</v>
      </c>
      <c r="M272" s="33">
        <v>6</v>
      </c>
      <c r="N272" s="128" t="s">
        <v>208</v>
      </c>
      <c r="O272" s="84">
        <f>'SPJ FUNGSIONAL '!O278</f>
        <v>2142000000</v>
      </c>
      <c r="P272" s="81">
        <f>'[1]LRA SP2D'!$R$272</f>
        <v>1784700000</v>
      </c>
      <c r="Q272" s="81">
        <v>255000000</v>
      </c>
      <c r="R272" s="81">
        <f t="shared" si="107"/>
        <v>2039700000</v>
      </c>
      <c r="S272" s="81">
        <f>'SPJ FUNGSIONAL '!V278</f>
        <v>1784700000</v>
      </c>
      <c r="T272" s="81">
        <f>'SPJ FUNGSIONAL '!W278</f>
        <v>357000000</v>
      </c>
      <c r="U272" s="81">
        <f t="shared" si="108"/>
        <v>2141700000</v>
      </c>
      <c r="V272" s="81">
        <f t="shared" si="109"/>
        <v>300000</v>
      </c>
      <c r="W272" s="81"/>
      <c r="X272" s="81">
        <f t="shared" si="110"/>
        <v>-102000000</v>
      </c>
      <c r="Y272" s="207">
        <f t="shared" si="112"/>
        <v>0.99985994397759104</v>
      </c>
    </row>
    <row r="273" spans="1:25" s="3" customFormat="1" ht="25" customHeight="1">
      <c r="A273" s="7"/>
      <c r="B273" s="8"/>
      <c r="C273" s="8"/>
      <c r="D273" s="88"/>
      <c r="E273" s="88"/>
      <c r="F273" s="88"/>
      <c r="G273" s="88"/>
      <c r="H273" s="88"/>
      <c r="I273" s="88"/>
      <c r="J273" s="88"/>
      <c r="K273" s="88"/>
      <c r="L273" s="90"/>
      <c r="M273" s="91"/>
      <c r="N273" s="129"/>
      <c r="O273" s="84"/>
      <c r="P273" s="81"/>
      <c r="Q273" s="81"/>
      <c r="R273" s="81"/>
      <c r="S273" s="81"/>
      <c r="T273" s="81"/>
      <c r="U273" s="81"/>
      <c r="V273" s="81"/>
      <c r="W273" s="81"/>
      <c r="X273" s="81"/>
      <c r="Y273" s="207"/>
    </row>
    <row r="274" spans="1:25" s="3" customFormat="1" ht="39.75" customHeight="1">
      <c r="A274" s="56">
        <v>7</v>
      </c>
      <c r="B274" s="109" t="s">
        <v>19</v>
      </c>
      <c r="C274" s="109" t="s">
        <v>54</v>
      </c>
      <c r="D274" s="57"/>
      <c r="E274" s="57"/>
      <c r="F274" s="57"/>
      <c r="G274" s="57"/>
      <c r="H274" s="57"/>
      <c r="I274" s="57"/>
      <c r="J274" s="57"/>
      <c r="K274" s="57"/>
      <c r="L274" s="57"/>
      <c r="M274" s="75"/>
      <c r="N274" s="127" t="s">
        <v>141</v>
      </c>
      <c r="O274" s="76">
        <f>O276</f>
        <v>26675000</v>
      </c>
      <c r="P274" s="181">
        <f>P276</f>
        <v>10868700</v>
      </c>
      <c r="Q274" s="181">
        <f>Q276</f>
        <v>12118750</v>
      </c>
      <c r="R274" s="160">
        <f t="shared" si="107"/>
        <v>22987450</v>
      </c>
      <c r="S274" s="181">
        <f>S276</f>
        <v>15582450</v>
      </c>
      <c r="T274" s="181">
        <f>T276</f>
        <v>7405000</v>
      </c>
      <c r="U274" s="160">
        <f t="shared" si="108"/>
        <v>22987450</v>
      </c>
      <c r="V274" s="160">
        <f t="shared" si="109"/>
        <v>3687550</v>
      </c>
      <c r="W274" s="160"/>
      <c r="X274" s="160">
        <f t="shared" si="110"/>
        <v>0</v>
      </c>
      <c r="Y274" s="210">
        <f t="shared" si="112"/>
        <v>0.86176007497656981</v>
      </c>
    </row>
    <row r="275" spans="1:25" s="3" customFormat="1" ht="25" customHeight="1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73"/>
      <c r="N275" s="126"/>
      <c r="O275" s="94"/>
      <c r="P275" s="122"/>
      <c r="Q275" s="122"/>
      <c r="R275" s="82"/>
      <c r="S275" s="122"/>
      <c r="T275" s="122"/>
      <c r="U275" s="82"/>
      <c r="V275" s="82"/>
      <c r="W275" s="82"/>
      <c r="X275" s="82"/>
      <c r="Y275" s="209"/>
    </row>
    <row r="276" spans="1:25" s="3" customFormat="1" ht="43.5" customHeight="1">
      <c r="A276" s="58">
        <v>7</v>
      </c>
      <c r="B276" s="110" t="s">
        <v>19</v>
      </c>
      <c r="C276" s="110" t="s">
        <v>54</v>
      </c>
      <c r="D276" s="110" t="s">
        <v>64</v>
      </c>
      <c r="E276" s="110" t="s">
        <v>19</v>
      </c>
      <c r="F276" s="59"/>
      <c r="G276" s="59"/>
      <c r="H276" s="59"/>
      <c r="I276" s="59"/>
      <c r="J276" s="59"/>
      <c r="K276" s="59"/>
      <c r="L276" s="59"/>
      <c r="M276" s="77"/>
      <c r="N276" s="25" t="s">
        <v>142</v>
      </c>
      <c r="O276" s="78">
        <f>O278+O407+O461+O485</f>
        <v>26675000</v>
      </c>
      <c r="P276" s="92">
        <f>P278+P407+P461+P485</f>
        <v>10868700</v>
      </c>
      <c r="Q276" s="92">
        <f>Q278+Q407+Q461+Q485</f>
        <v>12118750</v>
      </c>
      <c r="R276" s="163">
        <f t="shared" si="107"/>
        <v>22987450</v>
      </c>
      <c r="S276" s="92">
        <f>S278+S407+S461+S485</f>
        <v>15582450</v>
      </c>
      <c r="T276" s="92">
        <f>T278+T407+T461+T485</f>
        <v>7405000</v>
      </c>
      <c r="U276" s="163">
        <f t="shared" si="108"/>
        <v>22987450</v>
      </c>
      <c r="V276" s="163">
        <f t="shared" si="109"/>
        <v>3687550</v>
      </c>
      <c r="W276" s="163"/>
      <c r="X276" s="163">
        <f t="shared" si="110"/>
        <v>0</v>
      </c>
      <c r="Y276" s="211">
        <f t="shared" si="112"/>
        <v>0.86176007497656981</v>
      </c>
    </row>
    <row r="277" spans="1:25" s="3" customFormat="1" ht="25" customHeight="1">
      <c r="A277" s="60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79"/>
      <c r="N277" s="125"/>
      <c r="O277" s="23"/>
      <c r="P277" s="121"/>
      <c r="Q277" s="121"/>
      <c r="R277" s="82"/>
      <c r="S277" s="121"/>
      <c r="T277" s="121"/>
      <c r="U277" s="82"/>
      <c r="V277" s="82"/>
      <c r="W277" s="82"/>
      <c r="X277" s="82"/>
      <c r="Y277" s="209"/>
    </row>
    <row r="278" spans="1:25" s="3" customFormat="1" ht="57" customHeight="1">
      <c r="A278" s="62">
        <v>7</v>
      </c>
      <c r="B278" s="111" t="s">
        <v>19</v>
      </c>
      <c r="C278" s="111" t="s">
        <v>54</v>
      </c>
      <c r="D278" s="14">
        <v>2</v>
      </c>
      <c r="E278" s="103" t="s">
        <v>22</v>
      </c>
      <c r="F278" s="103" t="s">
        <v>19</v>
      </c>
      <c r="G278" s="89"/>
      <c r="H278" s="89"/>
      <c r="I278" s="89"/>
      <c r="J278" s="89"/>
      <c r="K278" s="89"/>
      <c r="L278" s="89"/>
      <c r="M278" s="93"/>
      <c r="N278" s="41" t="s">
        <v>143</v>
      </c>
      <c r="O278" s="32">
        <f t="shared" ref="O278:Q279" si="123">O279</f>
        <v>26675000</v>
      </c>
      <c r="P278" s="165">
        <f t="shared" si="123"/>
        <v>10868700</v>
      </c>
      <c r="Q278" s="165">
        <f t="shared" si="123"/>
        <v>12118750</v>
      </c>
      <c r="R278" s="165">
        <f t="shared" si="107"/>
        <v>22987450</v>
      </c>
      <c r="S278" s="165">
        <f>S279</f>
        <v>15582450</v>
      </c>
      <c r="T278" s="165">
        <f>T279</f>
        <v>7405000</v>
      </c>
      <c r="U278" s="165">
        <f t="shared" si="108"/>
        <v>22987450</v>
      </c>
      <c r="V278" s="165">
        <f t="shared" si="109"/>
        <v>3687550</v>
      </c>
      <c r="W278" s="165"/>
      <c r="X278" s="165">
        <f t="shared" si="110"/>
        <v>0</v>
      </c>
      <c r="Y278" s="213">
        <f t="shared" si="112"/>
        <v>0.86176007497656981</v>
      </c>
    </row>
    <row r="279" spans="1:25" s="3" customFormat="1" ht="40.5" customHeight="1">
      <c r="A279" s="65">
        <v>7</v>
      </c>
      <c r="B279" s="113" t="s">
        <v>19</v>
      </c>
      <c r="C279" s="113" t="s">
        <v>54</v>
      </c>
      <c r="D279" s="12">
        <v>2</v>
      </c>
      <c r="E279" s="104" t="s">
        <v>22</v>
      </c>
      <c r="F279" s="104" t="s">
        <v>19</v>
      </c>
      <c r="G279" s="12">
        <v>5</v>
      </c>
      <c r="H279" s="12">
        <v>1</v>
      </c>
      <c r="I279" s="104" t="s">
        <v>22</v>
      </c>
      <c r="J279" s="12"/>
      <c r="K279" s="12"/>
      <c r="L279" s="16"/>
      <c r="M279" s="33"/>
      <c r="N279" s="129" t="s">
        <v>123</v>
      </c>
      <c r="O279" s="87">
        <f t="shared" si="123"/>
        <v>26675000</v>
      </c>
      <c r="P279" s="87">
        <f t="shared" si="123"/>
        <v>10868700</v>
      </c>
      <c r="Q279" s="87">
        <f t="shared" si="123"/>
        <v>12118750</v>
      </c>
      <c r="R279" s="82">
        <f t="shared" si="107"/>
        <v>22987450</v>
      </c>
      <c r="S279" s="87">
        <f>S280</f>
        <v>15582450</v>
      </c>
      <c r="T279" s="87">
        <f>T280</f>
        <v>7405000</v>
      </c>
      <c r="U279" s="82">
        <f t="shared" si="108"/>
        <v>22987450</v>
      </c>
      <c r="V279" s="82">
        <f t="shared" si="109"/>
        <v>3687550</v>
      </c>
      <c r="W279" s="82"/>
      <c r="X279" s="82">
        <f t="shared" si="110"/>
        <v>0</v>
      </c>
      <c r="Y279" s="209">
        <f t="shared" si="112"/>
        <v>0.86176007497656981</v>
      </c>
    </row>
    <row r="280" spans="1:25" s="3" customFormat="1" ht="40.5" customHeight="1">
      <c r="A280" s="65">
        <v>7</v>
      </c>
      <c r="B280" s="113" t="s">
        <v>19</v>
      </c>
      <c r="C280" s="113" t="s">
        <v>54</v>
      </c>
      <c r="D280" s="12">
        <v>2</v>
      </c>
      <c r="E280" s="104" t="s">
        <v>22</v>
      </c>
      <c r="F280" s="104" t="s">
        <v>19</v>
      </c>
      <c r="G280" s="12">
        <v>5</v>
      </c>
      <c r="H280" s="12">
        <v>1</v>
      </c>
      <c r="I280" s="104" t="s">
        <v>22</v>
      </c>
      <c r="J280" s="104" t="s">
        <v>19</v>
      </c>
      <c r="K280" s="12"/>
      <c r="L280" s="16"/>
      <c r="M280" s="33"/>
      <c r="N280" s="129" t="s">
        <v>65</v>
      </c>
      <c r="O280" s="87">
        <f>O281+O285</f>
        <v>26675000</v>
      </c>
      <c r="P280" s="87">
        <f>P281+P285</f>
        <v>10868700</v>
      </c>
      <c r="Q280" s="87">
        <f>Q281+Q285</f>
        <v>12118750</v>
      </c>
      <c r="R280" s="82">
        <f t="shared" si="107"/>
        <v>22987450</v>
      </c>
      <c r="S280" s="87">
        <f>S281+S285</f>
        <v>15582450</v>
      </c>
      <c r="T280" s="87">
        <f>T281+T285</f>
        <v>7405000</v>
      </c>
      <c r="U280" s="82">
        <f t="shared" si="108"/>
        <v>22987450</v>
      </c>
      <c r="V280" s="82">
        <f t="shared" si="109"/>
        <v>3687550</v>
      </c>
      <c r="W280" s="82"/>
      <c r="X280" s="82">
        <f t="shared" si="110"/>
        <v>0</v>
      </c>
      <c r="Y280" s="209">
        <f t="shared" si="112"/>
        <v>0.86176007497656981</v>
      </c>
    </row>
    <row r="281" spans="1:25" s="3" customFormat="1" ht="40.5" customHeight="1">
      <c r="A281" s="65">
        <v>7</v>
      </c>
      <c r="B281" s="113" t="s">
        <v>19</v>
      </c>
      <c r="C281" s="113" t="s">
        <v>54</v>
      </c>
      <c r="D281" s="12">
        <v>2</v>
      </c>
      <c r="E281" s="104" t="s">
        <v>22</v>
      </c>
      <c r="F281" s="104" t="s">
        <v>19</v>
      </c>
      <c r="G281" s="12">
        <v>5</v>
      </c>
      <c r="H281" s="12">
        <v>1</v>
      </c>
      <c r="I281" s="104" t="s">
        <v>22</v>
      </c>
      <c r="J281" s="104" t="s">
        <v>19</v>
      </c>
      <c r="K281" s="104" t="s">
        <v>19</v>
      </c>
      <c r="L281" s="16"/>
      <c r="M281" s="33"/>
      <c r="N281" s="129" t="s">
        <v>51</v>
      </c>
      <c r="O281" s="87">
        <f>SUM(O282:O284)</f>
        <v>13625000</v>
      </c>
      <c r="P281" s="87">
        <f>SUM(P282:P284)</f>
        <v>3668700</v>
      </c>
      <c r="Q281" s="87">
        <f>SUM(Q282:Q284)</f>
        <v>7218750</v>
      </c>
      <c r="R281" s="82">
        <f t="shared" si="107"/>
        <v>10887450</v>
      </c>
      <c r="S281" s="87">
        <f>SUM(S282:S284)</f>
        <v>6582450</v>
      </c>
      <c r="T281" s="87">
        <f>SUM(T282:T284)</f>
        <v>4305000</v>
      </c>
      <c r="U281" s="82">
        <f>S281+T281</f>
        <v>10887450</v>
      </c>
      <c r="V281" s="82">
        <f t="shared" si="109"/>
        <v>2737550</v>
      </c>
      <c r="W281" s="82"/>
      <c r="X281" s="82">
        <f t="shared" si="110"/>
        <v>0</v>
      </c>
      <c r="Y281" s="209">
        <f t="shared" si="112"/>
        <v>0.79907889908256879</v>
      </c>
    </row>
    <row r="282" spans="1:25" s="3" customFormat="1" ht="40.5" customHeight="1">
      <c r="A282" s="67">
        <v>7</v>
      </c>
      <c r="B282" s="114" t="s">
        <v>19</v>
      </c>
      <c r="C282" s="114" t="s">
        <v>54</v>
      </c>
      <c r="D282" s="16">
        <v>2</v>
      </c>
      <c r="E282" s="105" t="s">
        <v>22</v>
      </c>
      <c r="F282" s="105" t="s">
        <v>19</v>
      </c>
      <c r="G282" s="16">
        <v>5</v>
      </c>
      <c r="H282" s="16">
        <v>1</v>
      </c>
      <c r="I282" s="105" t="s">
        <v>22</v>
      </c>
      <c r="J282" s="105" t="s">
        <v>19</v>
      </c>
      <c r="K282" s="105" t="s">
        <v>19</v>
      </c>
      <c r="L282" s="105" t="s">
        <v>56</v>
      </c>
      <c r="M282" s="33">
        <v>6</v>
      </c>
      <c r="N282" s="34" t="s">
        <v>134</v>
      </c>
      <c r="O282" s="84">
        <f>'SPJ FUNGSIONAL '!O288</f>
        <v>0</v>
      </c>
      <c r="P282" s="81"/>
      <c r="Q282" s="81"/>
      <c r="R282" s="81">
        <f t="shared" si="107"/>
        <v>0</v>
      </c>
      <c r="S282" s="81"/>
      <c r="T282" s="81">
        <f>'SPJ FUNGSIONAL '!W288</f>
        <v>0</v>
      </c>
      <c r="U282" s="81">
        <f t="shared" si="108"/>
        <v>0</v>
      </c>
      <c r="V282" s="81">
        <f t="shared" si="109"/>
        <v>0</v>
      </c>
      <c r="W282" s="81"/>
      <c r="X282" s="81">
        <f t="shared" si="110"/>
        <v>0</v>
      </c>
      <c r="Y282" s="207">
        <v>0</v>
      </c>
    </row>
    <row r="283" spans="1:25" s="3" customFormat="1" ht="40.5" customHeight="1">
      <c r="A283" s="67">
        <v>7</v>
      </c>
      <c r="B283" s="114" t="s">
        <v>19</v>
      </c>
      <c r="C283" s="114" t="s">
        <v>54</v>
      </c>
      <c r="D283" s="16">
        <v>2</v>
      </c>
      <c r="E283" s="105" t="s">
        <v>22</v>
      </c>
      <c r="F283" s="105" t="s">
        <v>19</v>
      </c>
      <c r="G283" s="16">
        <v>5</v>
      </c>
      <c r="H283" s="16">
        <v>1</v>
      </c>
      <c r="I283" s="105" t="s">
        <v>22</v>
      </c>
      <c r="J283" s="105" t="s">
        <v>19</v>
      </c>
      <c r="K283" s="105" t="s">
        <v>19</v>
      </c>
      <c r="L283" s="105" t="s">
        <v>52</v>
      </c>
      <c r="M283" s="33">
        <v>6</v>
      </c>
      <c r="N283" s="39" t="s">
        <v>236</v>
      </c>
      <c r="O283" s="84">
        <f>'SPJ FUNGSIONAL '!O289</f>
        <v>0</v>
      </c>
      <c r="P283" s="81"/>
      <c r="Q283" s="81"/>
      <c r="R283" s="81"/>
      <c r="S283" s="81"/>
      <c r="T283" s="81"/>
      <c r="U283" s="81"/>
      <c r="V283" s="81"/>
      <c r="W283" s="81">
        <f t="shared" ref="W283" si="124">R283-U283</f>
        <v>0</v>
      </c>
      <c r="X283" s="81">
        <f t="shared" ref="X283:X284" si="125">R283-U283</f>
        <v>0</v>
      </c>
      <c r="Y283" s="207">
        <v>0</v>
      </c>
    </row>
    <row r="284" spans="1:25" s="3" customFormat="1" ht="40.5" customHeight="1">
      <c r="A284" s="67">
        <v>7</v>
      </c>
      <c r="B284" s="114" t="s">
        <v>19</v>
      </c>
      <c r="C284" s="114" t="s">
        <v>54</v>
      </c>
      <c r="D284" s="16">
        <v>2</v>
      </c>
      <c r="E284" s="105" t="s">
        <v>22</v>
      </c>
      <c r="F284" s="105" t="s">
        <v>19</v>
      </c>
      <c r="G284" s="16">
        <v>5</v>
      </c>
      <c r="H284" s="16">
        <v>1</v>
      </c>
      <c r="I284" s="105" t="s">
        <v>22</v>
      </c>
      <c r="J284" s="105" t="s">
        <v>19</v>
      </c>
      <c r="K284" s="105" t="s">
        <v>19</v>
      </c>
      <c r="L284" s="105" t="s">
        <v>66</v>
      </c>
      <c r="M284" s="91">
        <v>2</v>
      </c>
      <c r="N284" s="128" t="s">
        <v>126</v>
      </c>
      <c r="O284" s="84">
        <f>'SPJ FUNGSIONAL '!O290</f>
        <v>13625000</v>
      </c>
      <c r="P284" s="81">
        <f>'[1]LRA SP2D'!$R$284</f>
        <v>3668700</v>
      </c>
      <c r="Q284" s="81">
        <v>7218750</v>
      </c>
      <c r="R284" s="81">
        <f t="shared" si="107"/>
        <v>10887450</v>
      </c>
      <c r="S284" s="81">
        <f>'SPJ FUNGSIONAL '!V290</f>
        <v>6582450</v>
      </c>
      <c r="T284" s="81">
        <f>'SPJ FUNGSIONAL '!W290</f>
        <v>4305000</v>
      </c>
      <c r="U284" s="81">
        <f t="shared" si="108"/>
        <v>10887450</v>
      </c>
      <c r="V284" s="81">
        <f t="shared" si="109"/>
        <v>2737550</v>
      </c>
      <c r="W284" s="81"/>
      <c r="X284" s="81">
        <f t="shared" si="125"/>
        <v>0</v>
      </c>
      <c r="Y284" s="207">
        <f t="shared" ref="Y284" si="126">U284/O284*100%</f>
        <v>0.79907889908256879</v>
      </c>
    </row>
    <row r="285" spans="1:25" s="3" customFormat="1" ht="40.5" customHeight="1">
      <c r="A285" s="65">
        <v>7</v>
      </c>
      <c r="B285" s="113" t="s">
        <v>19</v>
      </c>
      <c r="C285" s="113" t="s">
        <v>54</v>
      </c>
      <c r="D285" s="12">
        <v>2</v>
      </c>
      <c r="E285" s="104" t="s">
        <v>22</v>
      </c>
      <c r="F285" s="104" t="s">
        <v>19</v>
      </c>
      <c r="G285" s="12">
        <v>5</v>
      </c>
      <c r="H285" s="12">
        <v>1</v>
      </c>
      <c r="I285" s="104" t="s">
        <v>22</v>
      </c>
      <c r="J285" s="104" t="s">
        <v>54</v>
      </c>
      <c r="K285" s="12"/>
      <c r="L285" s="16"/>
      <c r="M285" s="33"/>
      <c r="N285" s="129" t="s">
        <v>68</v>
      </c>
      <c r="O285" s="87">
        <f>O286</f>
        <v>13050000</v>
      </c>
      <c r="P285" s="87">
        <f t="shared" ref="P285:Q286" si="127">P286</f>
        <v>7200000</v>
      </c>
      <c r="Q285" s="87">
        <f t="shared" si="127"/>
        <v>4900000</v>
      </c>
      <c r="R285" s="82">
        <f t="shared" si="107"/>
        <v>12100000</v>
      </c>
      <c r="S285" s="87">
        <f t="shared" ref="S285:T286" si="128">S286</f>
        <v>9000000</v>
      </c>
      <c r="T285" s="87">
        <f t="shared" si="128"/>
        <v>3100000</v>
      </c>
      <c r="U285" s="82">
        <f t="shared" si="108"/>
        <v>12100000</v>
      </c>
      <c r="V285" s="82">
        <f t="shared" si="109"/>
        <v>950000</v>
      </c>
      <c r="W285" s="82"/>
      <c r="X285" s="82">
        <f t="shared" si="110"/>
        <v>0</v>
      </c>
      <c r="Y285" s="209">
        <f t="shared" si="112"/>
        <v>0.92720306513409967</v>
      </c>
    </row>
    <row r="286" spans="1:25" s="3" customFormat="1" ht="40.5" customHeight="1">
      <c r="A286" s="65">
        <v>7</v>
      </c>
      <c r="B286" s="113" t="s">
        <v>19</v>
      </c>
      <c r="C286" s="113" t="s">
        <v>54</v>
      </c>
      <c r="D286" s="12">
        <v>2</v>
      </c>
      <c r="E286" s="104" t="s">
        <v>22</v>
      </c>
      <c r="F286" s="104" t="s">
        <v>19</v>
      </c>
      <c r="G286" s="12">
        <v>5</v>
      </c>
      <c r="H286" s="12">
        <v>1</v>
      </c>
      <c r="I286" s="104" t="s">
        <v>22</v>
      </c>
      <c r="J286" s="104" t="s">
        <v>54</v>
      </c>
      <c r="K286" s="104" t="s">
        <v>19</v>
      </c>
      <c r="L286" s="16"/>
      <c r="M286" s="33"/>
      <c r="N286" s="129" t="s">
        <v>69</v>
      </c>
      <c r="O286" s="87">
        <f>O287</f>
        <v>13050000</v>
      </c>
      <c r="P286" s="87">
        <f t="shared" si="127"/>
        <v>7200000</v>
      </c>
      <c r="Q286" s="87">
        <f t="shared" si="127"/>
        <v>4900000</v>
      </c>
      <c r="R286" s="82">
        <f t="shared" si="107"/>
        <v>12100000</v>
      </c>
      <c r="S286" s="87">
        <f t="shared" si="128"/>
        <v>9000000</v>
      </c>
      <c r="T286" s="87">
        <f t="shared" si="128"/>
        <v>3100000</v>
      </c>
      <c r="U286" s="82">
        <f t="shared" si="108"/>
        <v>12100000</v>
      </c>
      <c r="V286" s="82">
        <f t="shared" si="109"/>
        <v>950000</v>
      </c>
      <c r="W286" s="82"/>
      <c r="X286" s="82">
        <f t="shared" si="110"/>
        <v>0</v>
      </c>
      <c r="Y286" s="209">
        <f t="shared" si="112"/>
        <v>0.92720306513409967</v>
      </c>
    </row>
    <row r="287" spans="1:25" s="3" customFormat="1" ht="40.5" customHeight="1">
      <c r="A287" s="67">
        <v>7</v>
      </c>
      <c r="B287" s="114" t="s">
        <v>19</v>
      </c>
      <c r="C287" s="114" t="s">
        <v>54</v>
      </c>
      <c r="D287" s="16">
        <v>2</v>
      </c>
      <c r="E287" s="105" t="s">
        <v>22</v>
      </c>
      <c r="F287" s="105" t="s">
        <v>19</v>
      </c>
      <c r="G287" s="16">
        <v>5</v>
      </c>
      <c r="H287" s="16">
        <v>1</v>
      </c>
      <c r="I287" s="105" t="s">
        <v>22</v>
      </c>
      <c r="J287" s="105" t="s">
        <v>54</v>
      </c>
      <c r="K287" s="105" t="s">
        <v>19</v>
      </c>
      <c r="L287" s="105" t="s">
        <v>27</v>
      </c>
      <c r="M287" s="33">
        <v>3</v>
      </c>
      <c r="N287" s="128" t="s">
        <v>144</v>
      </c>
      <c r="O287" s="84">
        <f>'SPJ FUNGSIONAL '!O293</f>
        <v>13050000</v>
      </c>
      <c r="P287" s="81">
        <f>'[1]LRA SP2D'!$R$287</f>
        <v>7200000</v>
      </c>
      <c r="Q287" s="81">
        <v>4900000</v>
      </c>
      <c r="R287" s="81">
        <f t="shared" si="107"/>
        <v>12100000</v>
      </c>
      <c r="S287" s="81">
        <f>'SPJ FUNGSIONAL '!V293</f>
        <v>9000000</v>
      </c>
      <c r="T287" s="81">
        <f>'SPJ FUNGSIONAL '!W293</f>
        <v>3100000</v>
      </c>
      <c r="U287" s="81">
        <f t="shared" si="108"/>
        <v>12100000</v>
      </c>
      <c r="V287" s="81">
        <f t="shared" si="109"/>
        <v>950000</v>
      </c>
      <c r="W287" s="81"/>
      <c r="X287" s="81">
        <f t="shared" si="110"/>
        <v>0</v>
      </c>
      <c r="Y287" s="207">
        <f t="shared" si="112"/>
        <v>0.92720306513409967</v>
      </c>
    </row>
    <row r="288" spans="1:25" s="3" customFormat="1" ht="25" customHeight="1">
      <c r="A288" s="7"/>
      <c r="B288" s="8"/>
      <c r="C288" s="8"/>
      <c r="D288" s="88"/>
      <c r="E288" s="88"/>
      <c r="F288" s="88"/>
      <c r="G288" s="88"/>
      <c r="H288" s="88"/>
      <c r="I288" s="88"/>
      <c r="J288" s="88"/>
      <c r="K288" s="88"/>
      <c r="L288" s="90"/>
      <c r="M288" s="91"/>
      <c r="N288" s="129"/>
      <c r="O288" s="84"/>
      <c r="P288" s="81"/>
      <c r="Q288" s="81"/>
      <c r="R288" s="81"/>
      <c r="S288" s="81"/>
      <c r="T288" s="81"/>
      <c r="U288" s="81"/>
      <c r="V288" s="81"/>
      <c r="W288" s="81"/>
      <c r="X288" s="81"/>
      <c r="Y288" s="207"/>
    </row>
    <row r="289" spans="1:25" s="3" customFormat="1" ht="40.5" customHeight="1">
      <c r="A289" s="56">
        <v>7</v>
      </c>
      <c r="B289" s="109" t="s">
        <v>19</v>
      </c>
      <c r="C289" s="109" t="s">
        <v>32</v>
      </c>
      <c r="D289" s="57"/>
      <c r="E289" s="57"/>
      <c r="F289" s="57"/>
      <c r="G289" s="57"/>
      <c r="H289" s="57"/>
      <c r="I289" s="57"/>
      <c r="J289" s="57"/>
      <c r="K289" s="57"/>
      <c r="L289" s="57"/>
      <c r="M289" s="75"/>
      <c r="N289" s="127" t="s">
        <v>145</v>
      </c>
      <c r="O289" s="76">
        <f>O291</f>
        <v>426621450</v>
      </c>
      <c r="P289" s="181">
        <f>P291</f>
        <v>286329105</v>
      </c>
      <c r="Q289" s="181">
        <f>Q291</f>
        <v>52125800</v>
      </c>
      <c r="R289" s="160">
        <f t="shared" si="107"/>
        <v>338454905</v>
      </c>
      <c r="S289" s="181">
        <f>S291</f>
        <v>300591105</v>
      </c>
      <c r="T289" s="181">
        <f>T291</f>
        <v>57260800</v>
      </c>
      <c r="U289" s="160">
        <f t="shared" si="108"/>
        <v>357851905</v>
      </c>
      <c r="V289" s="160">
        <f t="shared" si="109"/>
        <v>68769545</v>
      </c>
      <c r="W289" s="160"/>
      <c r="X289" s="160">
        <f t="shared" si="110"/>
        <v>-19397000</v>
      </c>
      <c r="Y289" s="210">
        <f t="shared" si="112"/>
        <v>0.8388042959396439</v>
      </c>
    </row>
    <row r="290" spans="1:25" s="3" customFormat="1" ht="25" customHeight="1">
      <c r="A290" s="54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73"/>
      <c r="N290" s="126"/>
      <c r="O290" s="94"/>
      <c r="P290" s="122"/>
      <c r="Q290" s="122"/>
      <c r="R290" s="82"/>
      <c r="S290" s="122"/>
      <c r="T290" s="122"/>
      <c r="U290" s="82"/>
      <c r="V290" s="82"/>
      <c r="W290" s="82"/>
      <c r="X290" s="82"/>
      <c r="Y290" s="209"/>
    </row>
    <row r="291" spans="1:25" s="3" customFormat="1" ht="53.25" customHeight="1">
      <c r="A291" s="58">
        <v>7</v>
      </c>
      <c r="B291" s="110" t="s">
        <v>19</v>
      </c>
      <c r="C291" s="110" t="s">
        <v>32</v>
      </c>
      <c r="D291" s="110" t="s">
        <v>64</v>
      </c>
      <c r="E291" s="110" t="s">
        <v>19</v>
      </c>
      <c r="F291" s="59"/>
      <c r="G291" s="59"/>
      <c r="H291" s="59"/>
      <c r="I291" s="59"/>
      <c r="J291" s="59"/>
      <c r="K291" s="59"/>
      <c r="L291" s="59"/>
      <c r="M291" s="77"/>
      <c r="N291" s="25" t="s">
        <v>146</v>
      </c>
      <c r="O291" s="78">
        <f>O293+O318</f>
        <v>426621450</v>
      </c>
      <c r="P291" s="92">
        <f>P293+P318</f>
        <v>286329105</v>
      </c>
      <c r="Q291" s="92">
        <f>Q293+Q318</f>
        <v>52125800</v>
      </c>
      <c r="R291" s="163">
        <f t="shared" si="107"/>
        <v>338454905</v>
      </c>
      <c r="S291" s="92">
        <f>S293+S318</f>
        <v>300591105</v>
      </c>
      <c r="T291" s="92">
        <f>T293+T318</f>
        <v>57260800</v>
      </c>
      <c r="U291" s="163">
        <f t="shared" si="108"/>
        <v>357851905</v>
      </c>
      <c r="V291" s="163">
        <f t="shared" si="109"/>
        <v>68769545</v>
      </c>
      <c r="W291" s="163"/>
      <c r="X291" s="163">
        <f t="shared" si="110"/>
        <v>-19397000</v>
      </c>
      <c r="Y291" s="211">
        <f t="shared" si="112"/>
        <v>0.8388042959396439</v>
      </c>
    </row>
    <row r="292" spans="1:25" s="3" customFormat="1" ht="25" customHeight="1">
      <c r="A292" s="60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79"/>
      <c r="N292" s="125"/>
      <c r="O292" s="23"/>
      <c r="P292" s="121"/>
      <c r="Q292" s="121"/>
      <c r="R292" s="82"/>
      <c r="S292" s="121"/>
      <c r="T292" s="121"/>
      <c r="U292" s="82"/>
      <c r="V292" s="82"/>
      <c r="W292" s="82"/>
      <c r="X292" s="82"/>
      <c r="Y292" s="209"/>
    </row>
    <row r="293" spans="1:25" s="3" customFormat="1" ht="87.75" customHeight="1">
      <c r="A293" s="62">
        <v>7</v>
      </c>
      <c r="B293" s="111" t="s">
        <v>19</v>
      </c>
      <c r="C293" s="111" t="s">
        <v>32</v>
      </c>
      <c r="D293" s="14">
        <v>2</v>
      </c>
      <c r="E293" s="103" t="s">
        <v>19</v>
      </c>
      <c r="F293" s="103" t="s">
        <v>54</v>
      </c>
      <c r="G293" s="89"/>
      <c r="H293" s="89"/>
      <c r="I293" s="89"/>
      <c r="J293" s="89"/>
      <c r="K293" s="89"/>
      <c r="L293" s="89"/>
      <c r="M293" s="93"/>
      <c r="N293" s="41" t="s">
        <v>147</v>
      </c>
      <c r="O293" s="32">
        <f t="shared" ref="O293:V293" si="129">O294</f>
        <v>365261450</v>
      </c>
      <c r="P293" s="32">
        <f t="shared" si="129"/>
        <v>265145930</v>
      </c>
      <c r="Q293" s="32">
        <f t="shared" si="129"/>
        <v>49825800</v>
      </c>
      <c r="R293" s="32">
        <f t="shared" si="129"/>
        <v>314971730</v>
      </c>
      <c r="S293" s="32">
        <f t="shared" si="129"/>
        <v>278607930</v>
      </c>
      <c r="T293" s="32">
        <f t="shared" si="129"/>
        <v>36768800</v>
      </c>
      <c r="U293" s="32">
        <f t="shared" si="129"/>
        <v>315376730</v>
      </c>
      <c r="V293" s="32">
        <f t="shared" si="129"/>
        <v>49884720</v>
      </c>
      <c r="W293" s="165"/>
      <c r="X293" s="165">
        <f t="shared" si="110"/>
        <v>-405000</v>
      </c>
      <c r="Y293" s="213">
        <f t="shared" si="112"/>
        <v>0.86342736141467979</v>
      </c>
    </row>
    <row r="294" spans="1:25" s="3" customFormat="1" ht="28.5" customHeight="1">
      <c r="A294" s="65">
        <v>7</v>
      </c>
      <c r="B294" s="113" t="s">
        <v>19</v>
      </c>
      <c r="C294" s="113" t="s">
        <v>32</v>
      </c>
      <c r="D294" s="12">
        <v>2</v>
      </c>
      <c r="E294" s="104" t="s">
        <v>19</v>
      </c>
      <c r="F294" s="104" t="s">
        <v>54</v>
      </c>
      <c r="G294" s="12">
        <v>5</v>
      </c>
      <c r="H294" s="12">
        <v>1</v>
      </c>
      <c r="I294" s="104" t="s">
        <v>22</v>
      </c>
      <c r="J294" s="12"/>
      <c r="K294" s="12"/>
      <c r="L294" s="16"/>
      <c r="M294" s="33"/>
      <c r="N294" s="129" t="s">
        <v>123</v>
      </c>
      <c r="O294" s="87">
        <f>O295+O304+O311+O314</f>
        <v>365261450</v>
      </c>
      <c r="P294" s="87">
        <f t="shared" ref="P294:V294" si="130">P295+P304+P311+P314</f>
        <v>265145930</v>
      </c>
      <c r="Q294" s="87">
        <f>Q295+Q304+Q311+Q314</f>
        <v>49825800</v>
      </c>
      <c r="R294" s="87">
        <f t="shared" si="130"/>
        <v>314971730</v>
      </c>
      <c r="S294" s="87">
        <f t="shared" si="130"/>
        <v>278607930</v>
      </c>
      <c r="T294" s="87">
        <f t="shared" si="130"/>
        <v>36768800</v>
      </c>
      <c r="U294" s="87">
        <f t="shared" si="130"/>
        <v>315376730</v>
      </c>
      <c r="V294" s="87">
        <f t="shared" si="130"/>
        <v>49884720</v>
      </c>
      <c r="W294" s="82"/>
      <c r="X294" s="82">
        <f t="shared" si="110"/>
        <v>-405000</v>
      </c>
      <c r="Y294" s="209">
        <f t="shared" si="112"/>
        <v>0.86342736141467979</v>
      </c>
    </row>
    <row r="295" spans="1:25" s="3" customFormat="1" ht="28.5" customHeight="1">
      <c r="A295" s="65">
        <v>7</v>
      </c>
      <c r="B295" s="113" t="s">
        <v>19</v>
      </c>
      <c r="C295" s="113" t="s">
        <v>32</v>
      </c>
      <c r="D295" s="12">
        <v>2</v>
      </c>
      <c r="E295" s="104" t="s">
        <v>19</v>
      </c>
      <c r="F295" s="104" t="s">
        <v>54</v>
      </c>
      <c r="G295" s="12">
        <v>5</v>
      </c>
      <c r="H295" s="12">
        <v>1</v>
      </c>
      <c r="I295" s="104" t="s">
        <v>22</v>
      </c>
      <c r="J295" s="104" t="s">
        <v>19</v>
      </c>
      <c r="K295" s="12"/>
      <c r="L295" s="16"/>
      <c r="M295" s="33"/>
      <c r="N295" s="129" t="s">
        <v>65</v>
      </c>
      <c r="O295" s="87">
        <f>O296</f>
        <v>204411450</v>
      </c>
      <c r="P295" s="87">
        <f t="shared" ref="P295:V295" si="131">P296</f>
        <v>151395930</v>
      </c>
      <c r="Q295" s="87">
        <f>Q296</f>
        <v>17425800</v>
      </c>
      <c r="R295" s="87">
        <f t="shared" si="131"/>
        <v>168821730</v>
      </c>
      <c r="S295" s="87">
        <f t="shared" si="131"/>
        <v>156057930</v>
      </c>
      <c r="T295" s="87">
        <f t="shared" si="131"/>
        <v>13168800</v>
      </c>
      <c r="U295" s="87">
        <f t="shared" si="131"/>
        <v>169226730</v>
      </c>
      <c r="V295" s="87">
        <f t="shared" si="131"/>
        <v>35184720</v>
      </c>
      <c r="W295" s="82"/>
      <c r="X295" s="82">
        <f t="shared" ref="X295:X330" si="132">R295-U295</f>
        <v>-405000</v>
      </c>
      <c r="Y295" s="209">
        <f t="shared" si="112"/>
        <v>0.82787304722900801</v>
      </c>
    </row>
    <row r="296" spans="1:25" s="3" customFormat="1" ht="28.5" customHeight="1">
      <c r="A296" s="65">
        <v>7</v>
      </c>
      <c r="B296" s="113" t="s">
        <v>19</v>
      </c>
      <c r="C296" s="113" t="s">
        <v>32</v>
      </c>
      <c r="D296" s="12">
        <v>2</v>
      </c>
      <c r="E296" s="104" t="s">
        <v>19</v>
      </c>
      <c r="F296" s="104" t="s">
        <v>54</v>
      </c>
      <c r="G296" s="12">
        <v>5</v>
      </c>
      <c r="H296" s="12">
        <v>1</v>
      </c>
      <c r="I296" s="104" t="s">
        <v>22</v>
      </c>
      <c r="J296" s="104" t="s">
        <v>19</v>
      </c>
      <c r="K296" s="104" t="s">
        <v>19</v>
      </c>
      <c r="L296" s="16"/>
      <c r="M296" s="33"/>
      <c r="N296" s="129" t="s">
        <v>51</v>
      </c>
      <c r="O296" s="87">
        <f>SUM(O297:O303)</f>
        <v>204411450</v>
      </c>
      <c r="P296" s="87">
        <f>SUM(P297:P303)</f>
        <v>151395930</v>
      </c>
      <c r="Q296" s="87">
        <f>SUM(Q297:Q303)</f>
        <v>17425800</v>
      </c>
      <c r="R296" s="82">
        <f>P296+Q296</f>
        <v>168821730</v>
      </c>
      <c r="S296" s="87">
        <f>SUM(S297:S303)</f>
        <v>156057930</v>
      </c>
      <c r="T296" s="87">
        <f>SUM(T297:T303)</f>
        <v>13168800</v>
      </c>
      <c r="U296" s="82">
        <f t="shared" ref="U296:U330" si="133">S296+T296</f>
        <v>169226730</v>
      </c>
      <c r="V296" s="82">
        <f>O296-U296</f>
        <v>35184720</v>
      </c>
      <c r="W296" s="82"/>
      <c r="X296" s="82">
        <f t="shared" si="132"/>
        <v>-405000</v>
      </c>
      <c r="Y296" s="209">
        <f t="shared" ref="Y296:Y330" si="134">U296/O296*100%</f>
        <v>0.82787304722900801</v>
      </c>
    </row>
    <row r="297" spans="1:25" s="3" customFormat="1" ht="32.25" customHeight="1">
      <c r="A297" s="384">
        <v>7</v>
      </c>
      <c r="B297" s="385" t="s">
        <v>19</v>
      </c>
      <c r="C297" s="394" t="s">
        <v>148</v>
      </c>
      <c r="D297" s="307">
        <v>2</v>
      </c>
      <c r="E297" s="306" t="s">
        <v>19</v>
      </c>
      <c r="F297" s="306" t="s">
        <v>54</v>
      </c>
      <c r="G297" s="307">
        <v>5</v>
      </c>
      <c r="H297" s="307">
        <v>1</v>
      </c>
      <c r="I297" s="306" t="s">
        <v>22</v>
      </c>
      <c r="J297" s="306" t="s">
        <v>19</v>
      </c>
      <c r="K297" s="306" t="s">
        <v>19</v>
      </c>
      <c r="L297" s="306" t="s">
        <v>56</v>
      </c>
      <c r="M297" s="308">
        <v>4</v>
      </c>
      <c r="N297" s="318" t="s">
        <v>282</v>
      </c>
      <c r="O297" s="84">
        <f>'SPJ FUNGSIONAL '!O303</f>
        <v>30000</v>
      </c>
      <c r="P297" s="87"/>
      <c r="Q297" s="87"/>
      <c r="R297" s="82"/>
      <c r="S297" s="87"/>
      <c r="T297" s="87"/>
      <c r="U297" s="82"/>
      <c r="V297" s="81">
        <f t="shared" ref="V297:V330" si="135">O297-U297</f>
        <v>30000</v>
      </c>
      <c r="W297" s="82"/>
      <c r="X297" s="82"/>
      <c r="Y297" s="207">
        <f t="shared" si="134"/>
        <v>0</v>
      </c>
    </row>
    <row r="298" spans="1:25" s="3" customFormat="1" ht="39.75" customHeight="1">
      <c r="A298" s="67">
        <v>7</v>
      </c>
      <c r="B298" s="114" t="s">
        <v>19</v>
      </c>
      <c r="C298" s="68" t="s">
        <v>148</v>
      </c>
      <c r="D298" s="16">
        <v>2</v>
      </c>
      <c r="E298" s="105" t="s">
        <v>19</v>
      </c>
      <c r="F298" s="105" t="s">
        <v>54</v>
      </c>
      <c r="G298" s="16">
        <v>5</v>
      </c>
      <c r="H298" s="16">
        <v>1</v>
      </c>
      <c r="I298" s="105" t="s">
        <v>22</v>
      </c>
      <c r="J298" s="105" t="s">
        <v>19</v>
      </c>
      <c r="K298" s="105" t="s">
        <v>19</v>
      </c>
      <c r="L298" s="105" t="s">
        <v>56</v>
      </c>
      <c r="M298" s="33">
        <v>6</v>
      </c>
      <c r="N298" s="34" t="s">
        <v>134</v>
      </c>
      <c r="O298" s="84">
        <f>'SPJ FUNGSIONAL '!O304</f>
        <v>3936450</v>
      </c>
      <c r="P298" s="81">
        <f>'[1]LRA SP2D'!$R$298</f>
        <v>2369500</v>
      </c>
      <c r="Q298" s="81"/>
      <c r="R298" s="81">
        <f t="shared" ref="R298:R330" si="136">P298+Q298</f>
        <v>2369500</v>
      </c>
      <c r="S298" s="81">
        <f>'SPJ FUNGSIONAL '!V304</f>
        <v>2369500</v>
      </c>
      <c r="T298" s="81">
        <f>'SPJ FUNGSIONAL '!W304</f>
        <v>405000</v>
      </c>
      <c r="U298" s="81">
        <f>SUM(S298:T298)</f>
        <v>2774500</v>
      </c>
      <c r="V298" s="81">
        <f t="shared" si="135"/>
        <v>1161950</v>
      </c>
      <c r="W298" s="81"/>
      <c r="X298" s="81">
        <f t="shared" si="132"/>
        <v>-405000</v>
      </c>
      <c r="Y298" s="207">
        <f t="shared" si="134"/>
        <v>0.7048228734011609</v>
      </c>
    </row>
    <row r="299" spans="1:25" s="3" customFormat="1" ht="39.75" customHeight="1">
      <c r="A299" s="67">
        <v>7</v>
      </c>
      <c r="B299" s="114" t="s">
        <v>19</v>
      </c>
      <c r="C299" s="114" t="s">
        <v>32</v>
      </c>
      <c r="D299" s="16">
        <v>2</v>
      </c>
      <c r="E299" s="105" t="s">
        <v>19</v>
      </c>
      <c r="F299" s="105" t="s">
        <v>54</v>
      </c>
      <c r="G299" s="16">
        <v>5</v>
      </c>
      <c r="H299" s="16">
        <v>1</v>
      </c>
      <c r="I299" s="105" t="s">
        <v>22</v>
      </c>
      <c r="J299" s="105" t="s">
        <v>19</v>
      </c>
      <c r="K299" s="105" t="s">
        <v>19</v>
      </c>
      <c r="L299" s="105" t="s">
        <v>52</v>
      </c>
      <c r="M299" s="91">
        <v>5</v>
      </c>
      <c r="N299" s="39" t="s">
        <v>136</v>
      </c>
      <c r="O299" s="84">
        <f>'SPJ FUNGSIONAL '!O305</f>
        <v>46000000</v>
      </c>
      <c r="P299" s="81">
        <f>'[1]LRA SP2D'!$R$299</f>
        <v>40103000</v>
      </c>
      <c r="Q299" s="81">
        <f t="shared" ref="P299:Q301" si="137">T299</f>
        <v>0</v>
      </c>
      <c r="R299" s="81">
        <f t="shared" si="136"/>
        <v>40103000</v>
      </c>
      <c r="S299" s="81">
        <f>'SPJ FUNGSIONAL '!V305</f>
        <v>40103000</v>
      </c>
      <c r="T299" s="81">
        <f>'SPJ FUNGSIONAL '!W305</f>
        <v>0</v>
      </c>
      <c r="U299" s="81">
        <f>SUM(S299:T299)</f>
        <v>40103000</v>
      </c>
      <c r="V299" s="81">
        <f t="shared" si="135"/>
        <v>5897000</v>
      </c>
      <c r="W299" s="81">
        <f t="shared" ref="W299" si="138">R299-U299</f>
        <v>0</v>
      </c>
      <c r="X299" s="81">
        <f t="shared" si="132"/>
        <v>0</v>
      </c>
      <c r="Y299" s="207">
        <f t="shared" si="134"/>
        <v>0.87180434782608696</v>
      </c>
    </row>
    <row r="300" spans="1:25" s="3" customFormat="1" ht="39.75" customHeight="1">
      <c r="A300" s="384">
        <v>7</v>
      </c>
      <c r="B300" s="385" t="s">
        <v>19</v>
      </c>
      <c r="C300" s="385" t="s">
        <v>32</v>
      </c>
      <c r="D300" s="307">
        <v>2</v>
      </c>
      <c r="E300" s="306" t="s">
        <v>19</v>
      </c>
      <c r="F300" s="306" t="s">
        <v>54</v>
      </c>
      <c r="G300" s="307">
        <v>5</v>
      </c>
      <c r="H300" s="307">
        <v>1</v>
      </c>
      <c r="I300" s="306" t="s">
        <v>22</v>
      </c>
      <c r="J300" s="306" t="s">
        <v>19</v>
      </c>
      <c r="K300" s="306" t="s">
        <v>19</v>
      </c>
      <c r="L300" s="306" t="s">
        <v>66</v>
      </c>
      <c r="M300" s="417">
        <v>2</v>
      </c>
      <c r="N300" s="407" t="s">
        <v>67</v>
      </c>
      <c r="O300" s="84">
        <f>'SPJ FUNGSIONAL '!O306</f>
        <v>4000000</v>
      </c>
      <c r="P300" s="81">
        <f t="shared" si="137"/>
        <v>3164700</v>
      </c>
      <c r="Q300" s="81">
        <f t="shared" si="137"/>
        <v>0</v>
      </c>
      <c r="R300" s="81">
        <f>SUM(P300:Q300)</f>
        <v>3164700</v>
      </c>
      <c r="S300" s="81">
        <f>'SPJ FUNGSIONAL '!V306</f>
        <v>3164700</v>
      </c>
      <c r="T300" s="81">
        <f>'SPJ FUNGSIONAL '!W306</f>
        <v>0</v>
      </c>
      <c r="U300" s="81">
        <f>SUM(S300:T300)</f>
        <v>3164700</v>
      </c>
      <c r="V300" s="81">
        <f t="shared" ref="V300:V316" si="139">O300-U300</f>
        <v>835300</v>
      </c>
      <c r="W300" s="81">
        <f t="shared" ref="W300:W316" si="140">R300-U300</f>
        <v>0</v>
      </c>
      <c r="X300" s="81">
        <f t="shared" ref="X300:X316" si="141">R300-U300</f>
        <v>0</v>
      </c>
      <c r="Y300" s="207">
        <f t="shared" ref="Y300:Y316" si="142">U300/O300*100%</f>
        <v>0.79117499999999996</v>
      </c>
    </row>
    <row r="301" spans="1:25" s="3" customFormat="1" ht="36" customHeight="1">
      <c r="A301" s="67">
        <v>7</v>
      </c>
      <c r="B301" s="114" t="s">
        <v>19</v>
      </c>
      <c r="C301" s="114" t="s">
        <v>32</v>
      </c>
      <c r="D301" s="16">
        <v>2</v>
      </c>
      <c r="E301" s="105" t="s">
        <v>19</v>
      </c>
      <c r="F301" s="105" t="s">
        <v>54</v>
      </c>
      <c r="G301" s="16">
        <v>5</v>
      </c>
      <c r="H301" s="16">
        <v>1</v>
      </c>
      <c r="I301" s="105" t="s">
        <v>22</v>
      </c>
      <c r="J301" s="105" t="s">
        <v>19</v>
      </c>
      <c r="K301" s="105" t="s">
        <v>19</v>
      </c>
      <c r="L301" s="105" t="s">
        <v>66</v>
      </c>
      <c r="M301" s="91">
        <v>3</v>
      </c>
      <c r="N301" s="128" t="s">
        <v>149</v>
      </c>
      <c r="O301" s="84">
        <f>'SPJ FUNGSIONAL '!O307</f>
        <v>4800000</v>
      </c>
      <c r="P301" s="81">
        <f t="shared" si="137"/>
        <v>3780000</v>
      </c>
      <c r="Q301" s="81">
        <f t="shared" si="137"/>
        <v>0</v>
      </c>
      <c r="R301" s="81">
        <f t="shared" si="136"/>
        <v>3780000</v>
      </c>
      <c r="S301" s="81">
        <f>'SPJ FUNGSIONAL '!V307</f>
        <v>3780000</v>
      </c>
      <c r="T301" s="81">
        <f>'SPJ FUNGSIONAL '!W307</f>
        <v>0</v>
      </c>
      <c r="U301" s="81">
        <f t="shared" si="133"/>
        <v>3780000</v>
      </c>
      <c r="V301" s="81">
        <f t="shared" si="139"/>
        <v>1020000</v>
      </c>
      <c r="W301" s="81">
        <f t="shared" si="140"/>
        <v>0</v>
      </c>
      <c r="X301" s="81">
        <f t="shared" si="141"/>
        <v>0</v>
      </c>
      <c r="Y301" s="207">
        <f t="shared" si="142"/>
        <v>0.78749999999999998</v>
      </c>
    </row>
    <row r="302" spans="1:25" s="3" customFormat="1" ht="36" customHeight="1">
      <c r="A302" s="384">
        <v>7</v>
      </c>
      <c r="B302" s="385" t="s">
        <v>19</v>
      </c>
      <c r="C302" s="385" t="s">
        <v>32</v>
      </c>
      <c r="D302" s="307">
        <v>2</v>
      </c>
      <c r="E302" s="306" t="s">
        <v>19</v>
      </c>
      <c r="F302" s="306" t="s">
        <v>54</v>
      </c>
      <c r="G302" s="307">
        <v>5</v>
      </c>
      <c r="H302" s="307">
        <v>1</v>
      </c>
      <c r="I302" s="306" t="s">
        <v>22</v>
      </c>
      <c r="J302" s="306" t="s">
        <v>19</v>
      </c>
      <c r="K302" s="306" t="s">
        <v>19</v>
      </c>
      <c r="L302" s="306" t="s">
        <v>66</v>
      </c>
      <c r="M302" s="417">
        <v>8</v>
      </c>
      <c r="N302" s="407" t="s">
        <v>127</v>
      </c>
      <c r="O302" s="84">
        <f>'SPJ FUNGSIONAL '!O308</f>
        <v>108145000</v>
      </c>
      <c r="P302" s="81">
        <f>'[1]LRA SP2D'!$R$302</f>
        <v>64478730</v>
      </c>
      <c r="Q302" s="81">
        <v>17425800</v>
      </c>
      <c r="R302" s="81">
        <f>SUM(P302:Q302)</f>
        <v>81904530</v>
      </c>
      <c r="S302" s="81">
        <f>'SPJ FUNGSIONAL '!V308</f>
        <v>69140730</v>
      </c>
      <c r="T302" s="81">
        <f>'SPJ FUNGSIONAL '!W308</f>
        <v>12763800</v>
      </c>
      <c r="U302" s="81">
        <f>SUM(S302:T302)</f>
        <v>81904530</v>
      </c>
      <c r="V302" s="81">
        <f t="shared" si="139"/>
        <v>26240470</v>
      </c>
      <c r="W302" s="81"/>
      <c r="X302" s="81">
        <f t="shared" si="141"/>
        <v>0</v>
      </c>
      <c r="Y302" s="207">
        <f t="shared" si="142"/>
        <v>0.75735845392759715</v>
      </c>
    </row>
    <row r="303" spans="1:25" s="3" customFormat="1" ht="36" customHeight="1">
      <c r="A303" s="67">
        <v>7</v>
      </c>
      <c r="B303" s="114" t="s">
        <v>19</v>
      </c>
      <c r="C303" s="114" t="s">
        <v>32</v>
      </c>
      <c r="D303" s="16">
        <v>2</v>
      </c>
      <c r="E303" s="105" t="s">
        <v>19</v>
      </c>
      <c r="F303" s="105" t="s">
        <v>54</v>
      </c>
      <c r="G303" s="16">
        <v>5</v>
      </c>
      <c r="H303" s="16">
        <v>1</v>
      </c>
      <c r="I303" s="105" t="s">
        <v>22</v>
      </c>
      <c r="J303" s="105" t="s">
        <v>19</v>
      </c>
      <c r="K303" s="105" t="s">
        <v>19</v>
      </c>
      <c r="L303" s="105" t="s">
        <v>128</v>
      </c>
      <c r="M303" s="91">
        <v>5</v>
      </c>
      <c r="N303" s="128" t="s">
        <v>150</v>
      </c>
      <c r="O303" s="84">
        <f>'SPJ FUNGSIONAL '!O309</f>
        <v>37500000</v>
      </c>
      <c r="P303" s="81">
        <f>'[1]LRA SP2D'!$R$303</f>
        <v>37500000</v>
      </c>
      <c r="Q303" s="81"/>
      <c r="R303" s="81">
        <f t="shared" si="136"/>
        <v>37500000</v>
      </c>
      <c r="S303" s="81">
        <f>'[1]LRA SP2D'!$U$303</f>
        <v>37500000</v>
      </c>
      <c r="T303" s="81">
        <f>'SPJ FUNGSIONAL '!W309</f>
        <v>0</v>
      </c>
      <c r="U303" s="81">
        <f t="shared" si="133"/>
        <v>37500000</v>
      </c>
      <c r="V303" s="81">
        <f t="shared" si="139"/>
        <v>0</v>
      </c>
      <c r="W303" s="81">
        <f t="shared" si="140"/>
        <v>0</v>
      </c>
      <c r="X303" s="81">
        <f t="shared" si="141"/>
        <v>0</v>
      </c>
      <c r="Y303" s="207">
        <v>0</v>
      </c>
    </row>
    <row r="304" spans="1:25" s="3" customFormat="1" ht="37.5" customHeight="1">
      <c r="A304" s="379">
        <v>7</v>
      </c>
      <c r="B304" s="380" t="s">
        <v>19</v>
      </c>
      <c r="C304" s="380" t="s">
        <v>32</v>
      </c>
      <c r="D304" s="289">
        <v>2</v>
      </c>
      <c r="E304" s="302" t="s">
        <v>19</v>
      </c>
      <c r="F304" s="302" t="s">
        <v>54</v>
      </c>
      <c r="G304" s="289">
        <v>5</v>
      </c>
      <c r="H304" s="289">
        <v>1</v>
      </c>
      <c r="I304" s="302" t="s">
        <v>22</v>
      </c>
      <c r="J304" s="302" t="s">
        <v>22</v>
      </c>
      <c r="K304" s="302"/>
      <c r="L304" s="302"/>
      <c r="M304" s="290"/>
      <c r="N304" s="316" t="s">
        <v>75</v>
      </c>
      <c r="O304" s="87">
        <f>O305</f>
        <v>71150000</v>
      </c>
      <c r="P304" s="87">
        <f t="shared" ref="P304:Q304" si="143">P305</f>
        <v>41750000</v>
      </c>
      <c r="Q304" s="87">
        <f t="shared" si="143"/>
        <v>16800000</v>
      </c>
      <c r="R304" s="82">
        <f>SUM(P304:Q304)</f>
        <v>58550000</v>
      </c>
      <c r="S304" s="82">
        <f>S305</f>
        <v>50550000</v>
      </c>
      <c r="T304" s="82">
        <f>T305</f>
        <v>8000000</v>
      </c>
      <c r="U304" s="82">
        <f>SUM(S304:T304)</f>
        <v>58550000</v>
      </c>
      <c r="V304" s="82">
        <f t="shared" si="139"/>
        <v>12600000</v>
      </c>
      <c r="W304" s="82"/>
      <c r="X304" s="82">
        <f t="shared" si="141"/>
        <v>0</v>
      </c>
      <c r="Y304" s="209">
        <f t="shared" si="142"/>
        <v>0.82290934645115954</v>
      </c>
    </row>
    <row r="305" spans="1:25" s="3" customFormat="1" ht="25" customHeight="1">
      <c r="A305" s="379">
        <v>7</v>
      </c>
      <c r="B305" s="380" t="s">
        <v>19</v>
      </c>
      <c r="C305" s="380" t="s">
        <v>32</v>
      </c>
      <c r="D305" s="289">
        <v>2</v>
      </c>
      <c r="E305" s="302" t="s">
        <v>19</v>
      </c>
      <c r="F305" s="302" t="s">
        <v>54</v>
      </c>
      <c r="G305" s="289">
        <v>5</v>
      </c>
      <c r="H305" s="289">
        <v>1</v>
      </c>
      <c r="I305" s="302" t="s">
        <v>22</v>
      </c>
      <c r="J305" s="302" t="s">
        <v>22</v>
      </c>
      <c r="K305" s="302" t="s">
        <v>19</v>
      </c>
      <c r="L305" s="302"/>
      <c r="M305" s="290"/>
      <c r="N305" s="316" t="s">
        <v>114</v>
      </c>
      <c r="O305" s="87">
        <f>SUM(O306:O310)</f>
        <v>71150000</v>
      </c>
      <c r="P305" s="87">
        <f>SUM(P306:P310)</f>
        <v>41750000</v>
      </c>
      <c r="Q305" s="87">
        <f>SUM(Q306:Q310)</f>
        <v>16800000</v>
      </c>
      <c r="R305" s="82">
        <f>SUM(P305:Q305)</f>
        <v>58550000</v>
      </c>
      <c r="S305" s="82">
        <f>SUM(S306:S310)</f>
        <v>50550000</v>
      </c>
      <c r="T305" s="82">
        <f>SUM(T306:T310)</f>
        <v>8000000</v>
      </c>
      <c r="U305" s="82">
        <f>SUM(S305:T305)</f>
        <v>58550000</v>
      </c>
      <c r="V305" s="82">
        <f t="shared" si="139"/>
        <v>12600000</v>
      </c>
      <c r="W305" s="82"/>
      <c r="X305" s="82">
        <f t="shared" si="141"/>
        <v>0</v>
      </c>
      <c r="Y305" s="209">
        <f t="shared" si="142"/>
        <v>0.82290934645115954</v>
      </c>
    </row>
    <row r="306" spans="1:25" s="3" customFormat="1" ht="45.75" customHeight="1">
      <c r="A306" s="384">
        <v>7</v>
      </c>
      <c r="B306" s="385" t="s">
        <v>19</v>
      </c>
      <c r="C306" s="385" t="s">
        <v>32</v>
      </c>
      <c r="D306" s="307">
        <v>2</v>
      </c>
      <c r="E306" s="306" t="s">
        <v>19</v>
      </c>
      <c r="F306" s="306" t="s">
        <v>54</v>
      </c>
      <c r="G306" s="307">
        <v>5</v>
      </c>
      <c r="H306" s="307">
        <v>1</v>
      </c>
      <c r="I306" s="306" t="s">
        <v>22</v>
      </c>
      <c r="J306" s="306" t="s">
        <v>22</v>
      </c>
      <c r="K306" s="306" t="s">
        <v>19</v>
      </c>
      <c r="L306" s="306" t="s">
        <v>27</v>
      </c>
      <c r="M306" s="308">
        <v>3</v>
      </c>
      <c r="N306" s="318" t="s">
        <v>115</v>
      </c>
      <c r="O306" s="84">
        <f>'SPJ FUNGSIONAL '!O312</f>
        <v>25050000</v>
      </c>
      <c r="P306" s="81">
        <f>'[1]LRA SP2D'!$R$306</f>
        <v>16250000</v>
      </c>
      <c r="Q306" s="81">
        <v>8800000</v>
      </c>
      <c r="R306" s="81">
        <f>SUM(P306:Q306)</f>
        <v>25050000</v>
      </c>
      <c r="S306" s="81">
        <f>'SPJ FUNGSIONAL '!V312</f>
        <v>25050000</v>
      </c>
      <c r="T306" s="81">
        <f>'SPJ FUNGSIONAL '!W312</f>
        <v>0</v>
      </c>
      <c r="U306" s="81">
        <f>SUM(S306:T306)</f>
        <v>25050000</v>
      </c>
      <c r="V306" s="81">
        <f t="shared" si="139"/>
        <v>0</v>
      </c>
      <c r="W306" s="81"/>
      <c r="X306" s="81">
        <f t="shared" si="141"/>
        <v>0</v>
      </c>
      <c r="Y306" s="207">
        <f t="shared" si="142"/>
        <v>1</v>
      </c>
    </row>
    <row r="307" spans="1:25" s="3" customFormat="1" ht="42" customHeight="1">
      <c r="A307" s="384">
        <v>7</v>
      </c>
      <c r="B307" s="385" t="s">
        <v>19</v>
      </c>
      <c r="C307" s="385" t="s">
        <v>32</v>
      </c>
      <c r="D307" s="307">
        <v>2</v>
      </c>
      <c r="E307" s="306" t="s">
        <v>19</v>
      </c>
      <c r="F307" s="306" t="s">
        <v>54</v>
      </c>
      <c r="G307" s="307">
        <v>5</v>
      </c>
      <c r="H307" s="307">
        <v>1</v>
      </c>
      <c r="I307" s="306" t="s">
        <v>22</v>
      </c>
      <c r="J307" s="306" t="s">
        <v>22</v>
      </c>
      <c r="K307" s="306" t="s">
        <v>19</v>
      </c>
      <c r="L307" s="306" t="s">
        <v>27</v>
      </c>
      <c r="M307" s="308">
        <v>4</v>
      </c>
      <c r="N307" s="318" t="s">
        <v>271</v>
      </c>
      <c r="O307" s="84">
        <f>'SPJ FUNGSIONAL '!O313</f>
        <v>0</v>
      </c>
      <c r="P307" s="81"/>
      <c r="Q307" s="81"/>
      <c r="R307" s="81">
        <f t="shared" ref="R307:R308" si="144">SUM(P307:Q307)</f>
        <v>0</v>
      </c>
      <c r="S307" s="81"/>
      <c r="T307" s="81"/>
      <c r="U307" s="81">
        <f t="shared" ref="U307:U308" si="145">SUM(S307:T307)</f>
        <v>0</v>
      </c>
      <c r="V307" s="81">
        <f t="shared" si="139"/>
        <v>0</v>
      </c>
      <c r="W307" s="81">
        <f t="shared" si="140"/>
        <v>0</v>
      </c>
      <c r="X307" s="81">
        <f t="shared" si="141"/>
        <v>0</v>
      </c>
      <c r="Y307" s="207">
        <v>0</v>
      </c>
    </row>
    <row r="308" spans="1:25" s="3" customFormat="1" ht="42" customHeight="1">
      <c r="A308" s="384">
        <v>7</v>
      </c>
      <c r="B308" s="385" t="s">
        <v>19</v>
      </c>
      <c r="C308" s="385" t="s">
        <v>32</v>
      </c>
      <c r="D308" s="307">
        <v>2</v>
      </c>
      <c r="E308" s="306" t="s">
        <v>19</v>
      </c>
      <c r="F308" s="306" t="s">
        <v>54</v>
      </c>
      <c r="G308" s="307">
        <v>5</v>
      </c>
      <c r="H308" s="307">
        <v>1</v>
      </c>
      <c r="I308" s="306" t="s">
        <v>22</v>
      </c>
      <c r="J308" s="306" t="s">
        <v>22</v>
      </c>
      <c r="K308" s="306" t="s">
        <v>19</v>
      </c>
      <c r="L308" s="306" t="s">
        <v>27</v>
      </c>
      <c r="M308" s="308">
        <v>6</v>
      </c>
      <c r="N308" s="318" t="s">
        <v>291</v>
      </c>
      <c r="O308" s="84">
        <f>'SPJ FUNGSIONAL '!O314</f>
        <v>17600000</v>
      </c>
      <c r="P308" s="81"/>
      <c r="Q308" s="81">
        <v>8000000</v>
      </c>
      <c r="R308" s="81">
        <f t="shared" si="144"/>
        <v>8000000</v>
      </c>
      <c r="S308" s="81"/>
      <c r="T308" s="81">
        <f>'SPJ FUNGSIONAL '!W314</f>
        <v>8000000</v>
      </c>
      <c r="U308" s="81">
        <f t="shared" si="145"/>
        <v>8000000</v>
      </c>
      <c r="V308" s="81"/>
      <c r="W308" s="81"/>
      <c r="X308" s="81">
        <f t="shared" ref="X308:X309" si="146">R308-U308</f>
        <v>0</v>
      </c>
      <c r="Y308" s="207">
        <f t="shared" si="142"/>
        <v>0.45454545454545453</v>
      </c>
    </row>
    <row r="309" spans="1:25" s="3" customFormat="1" ht="42" customHeight="1">
      <c r="A309" s="384">
        <v>7</v>
      </c>
      <c r="B309" s="385" t="s">
        <v>19</v>
      </c>
      <c r="C309" s="385" t="s">
        <v>32</v>
      </c>
      <c r="D309" s="307">
        <v>2</v>
      </c>
      <c r="E309" s="306" t="s">
        <v>19</v>
      </c>
      <c r="F309" s="306" t="s">
        <v>54</v>
      </c>
      <c r="G309" s="307">
        <v>5</v>
      </c>
      <c r="H309" s="307">
        <v>1</v>
      </c>
      <c r="I309" s="306" t="s">
        <v>22</v>
      </c>
      <c r="J309" s="306" t="s">
        <v>22</v>
      </c>
      <c r="K309" s="306" t="s">
        <v>19</v>
      </c>
      <c r="L309" s="306" t="s">
        <v>56</v>
      </c>
      <c r="M309" s="308">
        <v>9</v>
      </c>
      <c r="N309" s="318" t="s">
        <v>283</v>
      </c>
      <c r="O309" s="84">
        <f>'SPJ FUNGSIONAL '!O315</f>
        <v>6000000</v>
      </c>
      <c r="P309" s="81">
        <f>S309</f>
        <v>6000000</v>
      </c>
      <c r="Q309" s="81">
        <f>T309</f>
        <v>0</v>
      </c>
      <c r="R309" s="81">
        <f t="shared" ref="R309:R316" si="147">SUM(P309:Q309)</f>
        <v>6000000</v>
      </c>
      <c r="S309" s="81">
        <f>'SPJ FUNGSIONAL '!X315</f>
        <v>6000000</v>
      </c>
      <c r="T309" s="81">
        <f>'SPJ FUNGSIONAL '!W315</f>
        <v>0</v>
      </c>
      <c r="U309" s="81">
        <f t="shared" ref="U309:U316" si="148">SUM(S309:T309)</f>
        <v>6000000</v>
      </c>
      <c r="V309" s="81"/>
      <c r="W309" s="81">
        <f t="shared" ref="W309" si="149">R309-U309</f>
        <v>0</v>
      </c>
      <c r="X309" s="81">
        <f t="shared" si="146"/>
        <v>0</v>
      </c>
      <c r="Y309" s="207">
        <f t="shared" si="142"/>
        <v>1</v>
      </c>
    </row>
    <row r="310" spans="1:25" s="3" customFormat="1" ht="39" customHeight="1">
      <c r="A310" s="384">
        <v>7</v>
      </c>
      <c r="B310" s="385" t="s">
        <v>19</v>
      </c>
      <c r="C310" s="385" t="s">
        <v>32</v>
      </c>
      <c r="D310" s="307">
        <v>2</v>
      </c>
      <c r="E310" s="306" t="s">
        <v>19</v>
      </c>
      <c r="F310" s="306" t="s">
        <v>54</v>
      </c>
      <c r="G310" s="307">
        <v>5</v>
      </c>
      <c r="H310" s="307">
        <v>1</v>
      </c>
      <c r="I310" s="306" t="s">
        <v>22</v>
      </c>
      <c r="J310" s="306" t="s">
        <v>22</v>
      </c>
      <c r="K310" s="306" t="s">
        <v>19</v>
      </c>
      <c r="L310" s="306" t="s">
        <v>52</v>
      </c>
      <c r="M310" s="308">
        <v>7</v>
      </c>
      <c r="N310" s="318" t="s">
        <v>268</v>
      </c>
      <c r="O310" s="84">
        <f>'SPJ FUNGSIONAL '!O316</f>
        <v>22500000</v>
      </c>
      <c r="P310" s="81">
        <f>S310</f>
        <v>19500000</v>
      </c>
      <c r="Q310" s="81">
        <f>T310</f>
        <v>0</v>
      </c>
      <c r="R310" s="81">
        <f t="shared" si="147"/>
        <v>19500000</v>
      </c>
      <c r="S310" s="81">
        <f>'SPJ FUNGSIONAL '!V316</f>
        <v>19500000</v>
      </c>
      <c r="T310" s="81">
        <f>'SPJ FUNGSIONAL '!W316</f>
        <v>0</v>
      </c>
      <c r="U310" s="81">
        <f t="shared" si="148"/>
        <v>19500000</v>
      </c>
      <c r="V310" s="81">
        <f t="shared" si="139"/>
        <v>3000000</v>
      </c>
      <c r="W310" s="81">
        <f t="shared" si="140"/>
        <v>0</v>
      </c>
      <c r="X310" s="81">
        <f t="shared" si="141"/>
        <v>0</v>
      </c>
      <c r="Y310" s="207">
        <f t="shared" si="142"/>
        <v>0.8666666666666667</v>
      </c>
    </row>
    <row r="311" spans="1:25" s="3" customFormat="1" ht="36" customHeight="1">
      <c r="A311" s="379">
        <v>7</v>
      </c>
      <c r="B311" s="380" t="s">
        <v>19</v>
      </c>
      <c r="C311" s="380" t="s">
        <v>32</v>
      </c>
      <c r="D311" s="289">
        <v>2</v>
      </c>
      <c r="E311" s="302" t="s">
        <v>19</v>
      </c>
      <c r="F311" s="302" t="s">
        <v>54</v>
      </c>
      <c r="G311" s="289">
        <v>5</v>
      </c>
      <c r="H311" s="289">
        <v>1</v>
      </c>
      <c r="I311" s="302" t="s">
        <v>22</v>
      </c>
      <c r="J311" s="302" t="s">
        <v>54</v>
      </c>
      <c r="K311" s="302"/>
      <c r="L311" s="302"/>
      <c r="M311" s="290"/>
      <c r="N311" s="316" t="s">
        <v>68</v>
      </c>
      <c r="O311" s="87">
        <f>O312</f>
        <v>40500000</v>
      </c>
      <c r="P311" s="87">
        <f t="shared" ref="P311:Q312" si="150">P312</f>
        <v>22800000</v>
      </c>
      <c r="Q311" s="87">
        <f t="shared" si="150"/>
        <v>15600000</v>
      </c>
      <c r="R311" s="82">
        <f t="shared" si="147"/>
        <v>38400000</v>
      </c>
      <c r="S311" s="82">
        <f>S312</f>
        <v>22800000</v>
      </c>
      <c r="T311" s="82">
        <f>T312</f>
        <v>15600000</v>
      </c>
      <c r="U311" s="82">
        <f t="shared" si="148"/>
        <v>38400000</v>
      </c>
      <c r="V311" s="82">
        <f t="shared" si="139"/>
        <v>2100000</v>
      </c>
      <c r="W311" s="82"/>
      <c r="X311" s="82">
        <f t="shared" si="141"/>
        <v>0</v>
      </c>
      <c r="Y311" s="209">
        <f t="shared" si="142"/>
        <v>0.94814814814814818</v>
      </c>
    </row>
    <row r="312" spans="1:25" s="3" customFormat="1" ht="40.5" customHeight="1">
      <c r="A312" s="379">
        <v>7</v>
      </c>
      <c r="B312" s="380" t="s">
        <v>19</v>
      </c>
      <c r="C312" s="380" t="s">
        <v>32</v>
      </c>
      <c r="D312" s="289">
        <v>2</v>
      </c>
      <c r="E312" s="302" t="s">
        <v>19</v>
      </c>
      <c r="F312" s="302" t="s">
        <v>54</v>
      </c>
      <c r="G312" s="289">
        <v>5</v>
      </c>
      <c r="H312" s="289">
        <v>1</v>
      </c>
      <c r="I312" s="302" t="s">
        <v>22</v>
      </c>
      <c r="J312" s="302" t="s">
        <v>54</v>
      </c>
      <c r="K312" s="302" t="s">
        <v>19</v>
      </c>
      <c r="L312" s="302"/>
      <c r="M312" s="290"/>
      <c r="N312" s="410" t="s">
        <v>69</v>
      </c>
      <c r="O312" s="87">
        <f>O313</f>
        <v>40500000</v>
      </c>
      <c r="P312" s="87">
        <f t="shared" si="150"/>
        <v>22800000</v>
      </c>
      <c r="Q312" s="87">
        <f t="shared" si="150"/>
        <v>15600000</v>
      </c>
      <c r="R312" s="82">
        <f t="shared" si="147"/>
        <v>38400000</v>
      </c>
      <c r="S312" s="82">
        <f>S313</f>
        <v>22800000</v>
      </c>
      <c r="T312" s="82">
        <f>T313</f>
        <v>15600000</v>
      </c>
      <c r="U312" s="82">
        <f t="shared" si="148"/>
        <v>38400000</v>
      </c>
      <c r="V312" s="82">
        <f t="shared" si="139"/>
        <v>2100000</v>
      </c>
      <c r="W312" s="82"/>
      <c r="X312" s="82">
        <f t="shared" si="141"/>
        <v>0</v>
      </c>
      <c r="Y312" s="209">
        <f t="shared" si="142"/>
        <v>0.94814814814814818</v>
      </c>
    </row>
    <row r="313" spans="1:25" s="3" customFormat="1" ht="47.25" customHeight="1">
      <c r="A313" s="476">
        <v>7</v>
      </c>
      <c r="B313" s="477" t="s">
        <v>19</v>
      </c>
      <c r="C313" s="477" t="s">
        <v>32</v>
      </c>
      <c r="D313" s="398">
        <v>2</v>
      </c>
      <c r="E313" s="400" t="s">
        <v>19</v>
      </c>
      <c r="F313" s="400" t="s">
        <v>54</v>
      </c>
      <c r="G313" s="398">
        <v>5</v>
      </c>
      <c r="H313" s="398">
        <v>1</v>
      </c>
      <c r="I313" s="400" t="s">
        <v>22</v>
      </c>
      <c r="J313" s="400" t="s">
        <v>54</v>
      </c>
      <c r="K313" s="400" t="s">
        <v>19</v>
      </c>
      <c r="L313" s="400" t="s">
        <v>27</v>
      </c>
      <c r="M313" s="399">
        <v>3</v>
      </c>
      <c r="N313" s="483" t="s">
        <v>144</v>
      </c>
      <c r="O313" s="84">
        <f>'SPJ FUNGSIONAL '!O319</f>
        <v>40500000</v>
      </c>
      <c r="P313" s="81">
        <f>S313</f>
        <v>22800000</v>
      </c>
      <c r="Q313" s="81">
        <v>15600000</v>
      </c>
      <c r="R313" s="81">
        <f t="shared" si="147"/>
        <v>38400000</v>
      </c>
      <c r="S313" s="81">
        <f>'SPJ FUNGSIONAL '!V319</f>
        <v>22800000</v>
      </c>
      <c r="T313" s="81">
        <f>'SPJ FUNGSIONAL '!W319</f>
        <v>15600000</v>
      </c>
      <c r="U313" s="81">
        <f t="shared" si="148"/>
        <v>38400000</v>
      </c>
      <c r="V313" s="81">
        <f t="shared" si="139"/>
        <v>2100000</v>
      </c>
      <c r="W313" s="81"/>
      <c r="X313" s="81">
        <f t="shared" si="141"/>
        <v>0</v>
      </c>
      <c r="Y313" s="207">
        <f t="shared" si="142"/>
        <v>0.94814814814814818</v>
      </c>
    </row>
    <row r="314" spans="1:25" s="3" customFormat="1" ht="53.25" customHeight="1">
      <c r="A314" s="379">
        <v>7</v>
      </c>
      <c r="B314" s="380" t="s">
        <v>19</v>
      </c>
      <c r="C314" s="380" t="s">
        <v>32</v>
      </c>
      <c r="D314" s="289">
        <v>2</v>
      </c>
      <c r="E314" s="302" t="s">
        <v>19</v>
      </c>
      <c r="F314" s="302" t="s">
        <v>54</v>
      </c>
      <c r="G314" s="289">
        <v>5</v>
      </c>
      <c r="H314" s="289">
        <v>1</v>
      </c>
      <c r="I314" s="302" t="s">
        <v>22</v>
      </c>
      <c r="J314" s="302" t="s">
        <v>32</v>
      </c>
      <c r="K314" s="302"/>
      <c r="L314" s="302"/>
      <c r="M314" s="290"/>
      <c r="N314" s="316" t="s">
        <v>118</v>
      </c>
      <c r="O314" s="87">
        <f>O315</f>
        <v>49200000</v>
      </c>
      <c r="P314" s="87">
        <f t="shared" ref="P314:Q315" si="151">P315</f>
        <v>49200000</v>
      </c>
      <c r="Q314" s="87">
        <f t="shared" si="151"/>
        <v>0</v>
      </c>
      <c r="R314" s="82">
        <f t="shared" si="147"/>
        <v>49200000</v>
      </c>
      <c r="S314" s="82">
        <f>S315</f>
        <v>49200000</v>
      </c>
      <c r="T314" s="82">
        <f>T315</f>
        <v>0</v>
      </c>
      <c r="U314" s="82">
        <f t="shared" si="148"/>
        <v>49200000</v>
      </c>
      <c r="V314" s="82">
        <f t="shared" si="139"/>
        <v>0</v>
      </c>
      <c r="W314" s="82">
        <f t="shared" si="140"/>
        <v>0</v>
      </c>
      <c r="X314" s="82">
        <f t="shared" si="141"/>
        <v>0</v>
      </c>
      <c r="Y314" s="209">
        <f t="shared" si="142"/>
        <v>1</v>
      </c>
    </row>
    <row r="315" spans="1:25" s="3" customFormat="1" ht="43.5" customHeight="1">
      <c r="A315" s="379">
        <v>7</v>
      </c>
      <c r="B315" s="380" t="s">
        <v>19</v>
      </c>
      <c r="C315" s="380" t="s">
        <v>32</v>
      </c>
      <c r="D315" s="289">
        <v>2</v>
      </c>
      <c r="E315" s="302" t="s">
        <v>19</v>
      </c>
      <c r="F315" s="302" t="s">
        <v>54</v>
      </c>
      <c r="G315" s="289">
        <v>5</v>
      </c>
      <c r="H315" s="289">
        <v>1</v>
      </c>
      <c r="I315" s="302" t="s">
        <v>22</v>
      </c>
      <c r="J315" s="302" t="s">
        <v>32</v>
      </c>
      <c r="K315" s="302" t="s">
        <v>19</v>
      </c>
      <c r="L315" s="302"/>
      <c r="M315" s="290"/>
      <c r="N315" s="316" t="s">
        <v>119</v>
      </c>
      <c r="O315" s="87">
        <f>O316</f>
        <v>49200000</v>
      </c>
      <c r="P315" s="87">
        <f t="shared" si="151"/>
        <v>49200000</v>
      </c>
      <c r="Q315" s="87">
        <f t="shared" si="151"/>
        <v>0</v>
      </c>
      <c r="R315" s="82">
        <f t="shared" si="147"/>
        <v>49200000</v>
      </c>
      <c r="S315" s="82">
        <f>S316</f>
        <v>49200000</v>
      </c>
      <c r="T315" s="82">
        <f>T316</f>
        <v>0</v>
      </c>
      <c r="U315" s="82">
        <f t="shared" si="148"/>
        <v>49200000</v>
      </c>
      <c r="V315" s="82">
        <f t="shared" si="139"/>
        <v>0</v>
      </c>
      <c r="W315" s="82">
        <f t="shared" si="140"/>
        <v>0</v>
      </c>
      <c r="X315" s="82">
        <f t="shared" si="141"/>
        <v>0</v>
      </c>
      <c r="Y315" s="209">
        <f t="shared" si="142"/>
        <v>1</v>
      </c>
    </row>
    <row r="316" spans="1:25" s="3" customFormat="1" ht="36" customHeight="1">
      <c r="A316" s="384">
        <v>7</v>
      </c>
      <c r="B316" s="385" t="s">
        <v>19</v>
      </c>
      <c r="C316" s="385" t="s">
        <v>32</v>
      </c>
      <c r="D316" s="307">
        <v>2</v>
      </c>
      <c r="E316" s="306" t="s">
        <v>19</v>
      </c>
      <c r="F316" s="306" t="s">
        <v>54</v>
      </c>
      <c r="G316" s="307">
        <v>5</v>
      </c>
      <c r="H316" s="307">
        <v>1</v>
      </c>
      <c r="I316" s="306" t="s">
        <v>22</v>
      </c>
      <c r="J316" s="306" t="s">
        <v>32</v>
      </c>
      <c r="K316" s="306" t="s">
        <v>19</v>
      </c>
      <c r="L316" s="306" t="s">
        <v>27</v>
      </c>
      <c r="M316" s="308">
        <v>1</v>
      </c>
      <c r="N316" s="407" t="s">
        <v>272</v>
      </c>
      <c r="O316" s="84">
        <f>'SPJ FUNGSIONAL '!O322</f>
        <v>49200000</v>
      </c>
      <c r="P316" s="81">
        <f>S316</f>
        <v>49200000</v>
      </c>
      <c r="Q316" s="81">
        <f>T316</f>
        <v>0</v>
      </c>
      <c r="R316" s="81">
        <f t="shared" si="147"/>
        <v>49200000</v>
      </c>
      <c r="S316" s="81">
        <f>'SPJ FUNGSIONAL '!V322</f>
        <v>49200000</v>
      </c>
      <c r="T316" s="81">
        <f>'SPJ FUNGSIONAL '!W322</f>
        <v>0</v>
      </c>
      <c r="U316" s="81">
        <f t="shared" si="148"/>
        <v>49200000</v>
      </c>
      <c r="V316" s="81">
        <f t="shared" si="139"/>
        <v>0</v>
      </c>
      <c r="W316" s="81">
        <f t="shared" si="140"/>
        <v>0</v>
      </c>
      <c r="X316" s="81">
        <f t="shared" si="141"/>
        <v>0</v>
      </c>
      <c r="Y316" s="207">
        <f t="shared" si="142"/>
        <v>1</v>
      </c>
    </row>
    <row r="317" spans="1:25" s="3" customFormat="1" ht="25" customHeight="1">
      <c r="A317" s="65"/>
      <c r="B317" s="66"/>
      <c r="C317" s="66"/>
      <c r="D317" s="12"/>
      <c r="E317" s="12"/>
      <c r="F317" s="12"/>
      <c r="G317" s="12"/>
      <c r="H317" s="12"/>
      <c r="I317" s="12"/>
      <c r="J317" s="12"/>
      <c r="K317" s="12"/>
      <c r="L317" s="16"/>
      <c r="M317" s="33"/>
      <c r="N317" s="129"/>
      <c r="O317" s="87"/>
      <c r="P317" s="81"/>
      <c r="Q317" s="81"/>
      <c r="R317" s="81"/>
      <c r="S317" s="81"/>
      <c r="T317" s="81"/>
      <c r="U317" s="81"/>
      <c r="V317" s="81"/>
      <c r="W317" s="81"/>
      <c r="X317" s="81"/>
      <c r="Y317" s="207"/>
    </row>
    <row r="318" spans="1:25" s="3" customFormat="1" ht="47.25" customHeight="1">
      <c r="A318" s="62">
        <v>7</v>
      </c>
      <c r="B318" s="111" t="s">
        <v>19</v>
      </c>
      <c r="C318" s="111" t="s">
        <v>32</v>
      </c>
      <c r="D318" s="14">
        <v>2</v>
      </c>
      <c r="E318" s="103" t="s">
        <v>19</v>
      </c>
      <c r="F318" s="103" t="s">
        <v>38</v>
      </c>
      <c r="G318" s="89"/>
      <c r="H318" s="89"/>
      <c r="I318" s="89"/>
      <c r="J318" s="89"/>
      <c r="K318" s="89"/>
      <c r="L318" s="89"/>
      <c r="M318" s="93"/>
      <c r="N318" s="41" t="s">
        <v>151</v>
      </c>
      <c r="O318" s="32">
        <f t="shared" ref="O318:Q318" si="152">O319</f>
        <v>61360000</v>
      </c>
      <c r="P318" s="165">
        <f>P319</f>
        <v>21183175</v>
      </c>
      <c r="Q318" s="165">
        <f t="shared" si="152"/>
        <v>2300000</v>
      </c>
      <c r="R318" s="165">
        <f t="shared" si="136"/>
        <v>23483175</v>
      </c>
      <c r="S318" s="165">
        <f>S319</f>
        <v>21983175</v>
      </c>
      <c r="T318" s="165">
        <f>T319</f>
        <v>20492000</v>
      </c>
      <c r="U318" s="165">
        <f t="shared" si="133"/>
        <v>42475175</v>
      </c>
      <c r="V318" s="165">
        <f t="shared" si="135"/>
        <v>18884825</v>
      </c>
      <c r="W318" s="165"/>
      <c r="X318" s="165">
        <f t="shared" si="132"/>
        <v>-18992000</v>
      </c>
      <c r="Y318" s="213">
        <f t="shared" si="134"/>
        <v>0.69222905801825296</v>
      </c>
    </row>
    <row r="319" spans="1:25" s="3" customFormat="1" ht="35.25" customHeight="1">
      <c r="A319" s="65">
        <v>7</v>
      </c>
      <c r="B319" s="113" t="s">
        <v>19</v>
      </c>
      <c r="C319" s="113" t="s">
        <v>32</v>
      </c>
      <c r="D319" s="12">
        <v>2</v>
      </c>
      <c r="E319" s="104" t="s">
        <v>19</v>
      </c>
      <c r="F319" s="104" t="s">
        <v>38</v>
      </c>
      <c r="G319" s="12">
        <v>5</v>
      </c>
      <c r="H319" s="12">
        <v>1</v>
      </c>
      <c r="I319" s="104" t="s">
        <v>22</v>
      </c>
      <c r="J319" s="12"/>
      <c r="K319" s="12"/>
      <c r="L319" s="16"/>
      <c r="M319" s="33"/>
      <c r="N319" s="129" t="s">
        <v>123</v>
      </c>
      <c r="O319" s="87">
        <f>O320+O328+O333+O335+O338</f>
        <v>61360000</v>
      </c>
      <c r="P319" s="87">
        <f>P320+P328+P335+P338</f>
        <v>21183175</v>
      </c>
      <c r="Q319" s="87">
        <f>Q320+Q328+Q335+Q338</f>
        <v>2300000</v>
      </c>
      <c r="R319" s="82">
        <f>P319+Q319</f>
        <v>23483175</v>
      </c>
      <c r="S319" s="87">
        <f>S320+S328+S335+S338</f>
        <v>21983175</v>
      </c>
      <c r="T319" s="87">
        <f>T320+T328+T335+T338</f>
        <v>20492000</v>
      </c>
      <c r="U319" s="82">
        <f t="shared" si="133"/>
        <v>42475175</v>
      </c>
      <c r="V319" s="82">
        <f t="shared" si="135"/>
        <v>18884825</v>
      </c>
      <c r="W319" s="82"/>
      <c r="X319" s="82">
        <f t="shared" si="132"/>
        <v>-18992000</v>
      </c>
      <c r="Y319" s="209">
        <f t="shared" si="134"/>
        <v>0.69222905801825296</v>
      </c>
    </row>
    <row r="320" spans="1:25" s="3" customFormat="1" ht="35.25" customHeight="1">
      <c r="A320" s="65">
        <v>7</v>
      </c>
      <c r="B320" s="113" t="s">
        <v>19</v>
      </c>
      <c r="C320" s="113" t="s">
        <v>32</v>
      </c>
      <c r="D320" s="12">
        <v>2</v>
      </c>
      <c r="E320" s="104" t="s">
        <v>19</v>
      </c>
      <c r="F320" s="104" t="s">
        <v>38</v>
      </c>
      <c r="G320" s="12">
        <v>5</v>
      </c>
      <c r="H320" s="12">
        <v>1</v>
      </c>
      <c r="I320" s="104" t="s">
        <v>22</v>
      </c>
      <c r="J320" s="104" t="s">
        <v>19</v>
      </c>
      <c r="K320" s="12"/>
      <c r="L320" s="16"/>
      <c r="M320" s="33"/>
      <c r="N320" s="129" t="s">
        <v>65</v>
      </c>
      <c r="O320" s="87">
        <f>O321</f>
        <v>20415000</v>
      </c>
      <c r="P320" s="87">
        <f>P321</f>
        <v>7793175</v>
      </c>
      <c r="Q320" s="87">
        <f>Q321</f>
        <v>1500000</v>
      </c>
      <c r="R320" s="82">
        <f t="shared" si="136"/>
        <v>9293175</v>
      </c>
      <c r="S320" s="87">
        <f>S321</f>
        <v>7793175</v>
      </c>
      <c r="T320" s="87">
        <f>T321</f>
        <v>6562000</v>
      </c>
      <c r="U320" s="82">
        <f t="shared" si="133"/>
        <v>14355175</v>
      </c>
      <c r="V320" s="82">
        <f t="shared" si="135"/>
        <v>6059825</v>
      </c>
      <c r="W320" s="82"/>
      <c r="X320" s="82">
        <f t="shared" si="132"/>
        <v>-5062000</v>
      </c>
      <c r="Y320" s="209">
        <f t="shared" si="134"/>
        <v>0.70316801371540538</v>
      </c>
    </row>
    <row r="321" spans="1:25" s="3" customFormat="1" ht="35.25" customHeight="1">
      <c r="A321" s="65">
        <v>7</v>
      </c>
      <c r="B321" s="113" t="s">
        <v>19</v>
      </c>
      <c r="C321" s="113" t="s">
        <v>32</v>
      </c>
      <c r="D321" s="12">
        <v>2</v>
      </c>
      <c r="E321" s="104" t="s">
        <v>19</v>
      </c>
      <c r="F321" s="104" t="s">
        <v>38</v>
      </c>
      <c r="G321" s="12">
        <v>5</v>
      </c>
      <c r="H321" s="12">
        <v>1</v>
      </c>
      <c r="I321" s="104" t="s">
        <v>22</v>
      </c>
      <c r="J321" s="104" t="s">
        <v>19</v>
      </c>
      <c r="K321" s="104" t="s">
        <v>19</v>
      </c>
      <c r="L321" s="16"/>
      <c r="M321" s="33"/>
      <c r="N321" s="129" t="s">
        <v>51</v>
      </c>
      <c r="O321" s="87">
        <f>SUM(O322:O327)</f>
        <v>20415000</v>
      </c>
      <c r="P321" s="87">
        <f>SUM(P322:P327)</f>
        <v>7793175</v>
      </c>
      <c r="Q321" s="87">
        <f>SUM(Q322:Q327)</f>
        <v>1500000</v>
      </c>
      <c r="R321" s="82">
        <f>P321+Q321</f>
        <v>9293175</v>
      </c>
      <c r="S321" s="87">
        <f>SUM(S322:S327)</f>
        <v>7793175</v>
      </c>
      <c r="T321" s="87">
        <f>SUM(T322:T327)</f>
        <v>6562000</v>
      </c>
      <c r="U321" s="82">
        <f t="shared" si="133"/>
        <v>14355175</v>
      </c>
      <c r="V321" s="82">
        <f t="shared" si="135"/>
        <v>6059825</v>
      </c>
      <c r="W321" s="82"/>
      <c r="X321" s="82">
        <f t="shared" si="132"/>
        <v>-5062000</v>
      </c>
      <c r="Y321" s="209">
        <f t="shared" si="134"/>
        <v>0.70316801371540538</v>
      </c>
    </row>
    <row r="322" spans="1:25" s="3" customFormat="1" ht="35.25" customHeight="1">
      <c r="A322" s="384">
        <v>7</v>
      </c>
      <c r="B322" s="385" t="s">
        <v>19</v>
      </c>
      <c r="C322" s="394" t="s">
        <v>148</v>
      </c>
      <c r="D322" s="307">
        <v>2</v>
      </c>
      <c r="E322" s="306" t="s">
        <v>19</v>
      </c>
      <c r="F322" s="306" t="s">
        <v>38</v>
      </c>
      <c r="G322" s="307">
        <v>5</v>
      </c>
      <c r="H322" s="307">
        <v>1</v>
      </c>
      <c r="I322" s="306" t="s">
        <v>22</v>
      </c>
      <c r="J322" s="306" t="s">
        <v>19</v>
      </c>
      <c r="K322" s="306" t="s">
        <v>19</v>
      </c>
      <c r="L322" s="306" t="s">
        <v>56</v>
      </c>
      <c r="M322" s="308">
        <v>4</v>
      </c>
      <c r="N322" s="318" t="s">
        <v>273</v>
      </c>
      <c r="O322" s="84">
        <f>'SPJ FUNGSIONAL '!O328</f>
        <v>0</v>
      </c>
      <c r="P322" s="87"/>
      <c r="Q322" s="87"/>
      <c r="R322" s="82"/>
      <c r="S322" s="87"/>
      <c r="T322" s="87"/>
      <c r="U322" s="82"/>
      <c r="V322" s="81">
        <f t="shared" ref="V322:V323" si="153">O322-U322</f>
        <v>0</v>
      </c>
      <c r="W322" s="81">
        <f t="shared" ref="W322:W323" si="154">R322-U322</f>
        <v>0</v>
      </c>
      <c r="X322" s="81">
        <f t="shared" ref="X322:X323" si="155">R322-U322</f>
        <v>0</v>
      </c>
      <c r="Y322" s="207">
        <v>0</v>
      </c>
    </row>
    <row r="323" spans="1:25" s="3" customFormat="1" ht="35.25" customHeight="1">
      <c r="A323" s="384">
        <v>7</v>
      </c>
      <c r="B323" s="385" t="s">
        <v>19</v>
      </c>
      <c r="C323" s="394" t="s">
        <v>148</v>
      </c>
      <c r="D323" s="307">
        <v>2</v>
      </c>
      <c r="E323" s="306" t="s">
        <v>19</v>
      </c>
      <c r="F323" s="306" t="s">
        <v>38</v>
      </c>
      <c r="G323" s="307">
        <v>5</v>
      </c>
      <c r="H323" s="307">
        <v>1</v>
      </c>
      <c r="I323" s="306" t="s">
        <v>22</v>
      </c>
      <c r="J323" s="306" t="s">
        <v>19</v>
      </c>
      <c r="K323" s="306" t="s">
        <v>19</v>
      </c>
      <c r="L323" s="306" t="s">
        <v>56</v>
      </c>
      <c r="M323" s="308">
        <v>5</v>
      </c>
      <c r="N323" s="318" t="s">
        <v>133</v>
      </c>
      <c r="O323" s="84">
        <f>'SPJ FUNGSIONAL '!O329</f>
        <v>0</v>
      </c>
      <c r="P323" s="87"/>
      <c r="Q323" s="87"/>
      <c r="R323" s="82"/>
      <c r="S323" s="87"/>
      <c r="T323" s="87"/>
      <c r="U323" s="82"/>
      <c r="V323" s="81">
        <f t="shared" si="153"/>
        <v>0</v>
      </c>
      <c r="W323" s="81">
        <f t="shared" si="154"/>
        <v>0</v>
      </c>
      <c r="X323" s="81">
        <f t="shared" si="155"/>
        <v>0</v>
      </c>
      <c r="Y323" s="207">
        <v>0</v>
      </c>
    </row>
    <row r="324" spans="1:25" s="3" customFormat="1" ht="30" customHeight="1">
      <c r="A324" s="67">
        <v>7</v>
      </c>
      <c r="B324" s="114" t="s">
        <v>19</v>
      </c>
      <c r="C324" s="68" t="s">
        <v>148</v>
      </c>
      <c r="D324" s="16">
        <v>2</v>
      </c>
      <c r="E324" s="105" t="s">
        <v>19</v>
      </c>
      <c r="F324" s="105" t="s">
        <v>38</v>
      </c>
      <c r="G324" s="16">
        <v>5</v>
      </c>
      <c r="H324" s="16">
        <v>1</v>
      </c>
      <c r="I324" s="105" t="s">
        <v>22</v>
      </c>
      <c r="J324" s="105" t="s">
        <v>19</v>
      </c>
      <c r="K324" s="105" t="s">
        <v>19</v>
      </c>
      <c r="L324" s="105" t="s">
        <v>56</v>
      </c>
      <c r="M324" s="33">
        <v>6</v>
      </c>
      <c r="N324" s="34" t="s">
        <v>134</v>
      </c>
      <c r="O324" s="84">
        <f>'SPJ FUNGSIONAL '!O330</f>
        <v>1305000</v>
      </c>
      <c r="P324" s="81">
        <f>S324</f>
        <v>400000</v>
      </c>
      <c r="Q324" s="81"/>
      <c r="R324" s="81">
        <f t="shared" si="136"/>
        <v>400000</v>
      </c>
      <c r="S324" s="81">
        <f>'SPJ FUNGSIONAL '!V330</f>
        <v>400000</v>
      </c>
      <c r="T324" s="81">
        <f>'SPJ FUNGSIONAL '!W330</f>
        <v>400000</v>
      </c>
      <c r="U324" s="81">
        <f t="shared" si="133"/>
        <v>800000</v>
      </c>
      <c r="V324" s="81">
        <f t="shared" si="135"/>
        <v>505000</v>
      </c>
      <c r="W324" s="81"/>
      <c r="X324" s="81">
        <f t="shared" si="132"/>
        <v>-400000</v>
      </c>
      <c r="Y324" s="207">
        <f t="shared" si="134"/>
        <v>0.6130268199233716</v>
      </c>
    </row>
    <row r="325" spans="1:25" s="3" customFormat="1" ht="41.25" customHeight="1">
      <c r="A325" s="384">
        <v>7</v>
      </c>
      <c r="B325" s="385" t="s">
        <v>19</v>
      </c>
      <c r="C325" s="394" t="s">
        <v>148</v>
      </c>
      <c r="D325" s="307">
        <v>2</v>
      </c>
      <c r="E325" s="306" t="s">
        <v>19</v>
      </c>
      <c r="F325" s="306" t="s">
        <v>38</v>
      </c>
      <c r="G325" s="307">
        <v>5</v>
      </c>
      <c r="H325" s="307">
        <v>1</v>
      </c>
      <c r="I325" s="306" t="s">
        <v>22</v>
      </c>
      <c r="J325" s="306" t="s">
        <v>19</v>
      </c>
      <c r="K325" s="306" t="s">
        <v>19</v>
      </c>
      <c r="L325" s="306" t="s">
        <v>56</v>
      </c>
      <c r="M325" s="308">
        <v>6</v>
      </c>
      <c r="N325" s="318" t="s">
        <v>274</v>
      </c>
      <c r="O325" s="84">
        <f>'SPJ FUNGSIONAL '!O331</f>
        <v>2400000</v>
      </c>
      <c r="P325" s="81"/>
      <c r="Q325" s="81">
        <v>1500000</v>
      </c>
      <c r="R325" s="81">
        <f>SUM(P325:Q325)</f>
        <v>1500000</v>
      </c>
      <c r="S325" s="81"/>
      <c r="T325" s="81">
        <f>'SPJ FUNGSIONAL '!W331</f>
        <v>1500000</v>
      </c>
      <c r="U325" s="81">
        <f>SUM(S325:T325)</f>
        <v>1500000</v>
      </c>
      <c r="V325" s="81">
        <f t="shared" ref="V325:V326" si="156">O325-U325</f>
        <v>900000</v>
      </c>
      <c r="W325" s="81">
        <f t="shared" ref="W325:W326" si="157">R325-U325</f>
        <v>0</v>
      </c>
      <c r="X325" s="81">
        <f t="shared" ref="X325:X326" si="158">R325-U325</f>
        <v>0</v>
      </c>
      <c r="Y325" s="207">
        <f t="shared" ref="Y325:Y326" si="159">U325/O325*100%</f>
        <v>0.625</v>
      </c>
    </row>
    <row r="326" spans="1:25" s="3" customFormat="1" ht="41.25" customHeight="1">
      <c r="A326" s="384">
        <v>7</v>
      </c>
      <c r="B326" s="385" t="s">
        <v>19</v>
      </c>
      <c r="C326" s="385" t="s">
        <v>32</v>
      </c>
      <c r="D326" s="307">
        <v>2</v>
      </c>
      <c r="E326" s="306" t="s">
        <v>19</v>
      </c>
      <c r="F326" s="306" t="s">
        <v>38</v>
      </c>
      <c r="G326" s="307">
        <v>5</v>
      </c>
      <c r="H326" s="307">
        <v>1</v>
      </c>
      <c r="I326" s="306" t="s">
        <v>22</v>
      </c>
      <c r="J326" s="306" t="s">
        <v>19</v>
      </c>
      <c r="K326" s="306" t="s">
        <v>19</v>
      </c>
      <c r="L326" s="306" t="s">
        <v>66</v>
      </c>
      <c r="M326" s="417">
        <v>2</v>
      </c>
      <c r="N326" s="318" t="s">
        <v>67</v>
      </c>
      <c r="O326" s="84">
        <f>'SPJ FUNGSIONAL '!O332</f>
        <v>1600000</v>
      </c>
      <c r="P326" s="81"/>
      <c r="Q326" s="81"/>
      <c r="R326" s="81"/>
      <c r="S326" s="81"/>
      <c r="T326" s="81"/>
      <c r="U326" s="81"/>
      <c r="V326" s="81">
        <f t="shared" si="156"/>
        <v>1600000</v>
      </c>
      <c r="W326" s="81">
        <f t="shared" si="157"/>
        <v>0</v>
      </c>
      <c r="X326" s="81">
        <f t="shared" si="158"/>
        <v>0</v>
      </c>
      <c r="Y326" s="207">
        <f t="shared" si="159"/>
        <v>0</v>
      </c>
    </row>
    <row r="327" spans="1:25" s="3" customFormat="1" ht="30" customHeight="1">
      <c r="A327" s="67">
        <v>7</v>
      </c>
      <c r="B327" s="114" t="s">
        <v>19</v>
      </c>
      <c r="C327" s="114" t="s">
        <v>32</v>
      </c>
      <c r="D327" s="16">
        <v>2</v>
      </c>
      <c r="E327" s="105" t="s">
        <v>19</v>
      </c>
      <c r="F327" s="105" t="s">
        <v>38</v>
      </c>
      <c r="G327" s="16">
        <v>5</v>
      </c>
      <c r="H327" s="16">
        <v>1</v>
      </c>
      <c r="I327" s="105" t="s">
        <v>22</v>
      </c>
      <c r="J327" s="105" t="s">
        <v>19</v>
      </c>
      <c r="K327" s="105" t="s">
        <v>19</v>
      </c>
      <c r="L327" s="105" t="s">
        <v>66</v>
      </c>
      <c r="M327" s="91">
        <v>8</v>
      </c>
      <c r="N327" s="39" t="s">
        <v>127</v>
      </c>
      <c r="O327" s="84">
        <f>'SPJ FUNGSIONAL '!O333</f>
        <v>15110000</v>
      </c>
      <c r="P327" s="81">
        <v>7393175</v>
      </c>
      <c r="Q327" s="81"/>
      <c r="R327" s="81">
        <f t="shared" si="136"/>
        <v>7393175</v>
      </c>
      <c r="S327" s="81">
        <f>'SPJ FUNGSIONAL '!V333</f>
        <v>7393175</v>
      </c>
      <c r="T327" s="81">
        <f>'SPJ FUNGSIONAL '!W333</f>
        <v>4662000</v>
      </c>
      <c r="U327" s="81">
        <f t="shared" si="133"/>
        <v>12055175</v>
      </c>
      <c r="V327" s="81">
        <f t="shared" si="135"/>
        <v>3054825</v>
      </c>
      <c r="W327" s="81"/>
      <c r="X327" s="81">
        <f>R327-U327</f>
        <v>-4662000</v>
      </c>
      <c r="Y327" s="207">
        <f t="shared" si="134"/>
        <v>0.79782759761747191</v>
      </c>
    </row>
    <row r="328" spans="1:25" s="3" customFormat="1" ht="35.25" customHeight="1">
      <c r="A328" s="65">
        <v>7</v>
      </c>
      <c r="B328" s="113" t="s">
        <v>19</v>
      </c>
      <c r="C328" s="113" t="s">
        <v>32</v>
      </c>
      <c r="D328" s="12">
        <v>2</v>
      </c>
      <c r="E328" s="104" t="s">
        <v>19</v>
      </c>
      <c r="F328" s="104" t="s">
        <v>38</v>
      </c>
      <c r="G328" s="12">
        <v>5</v>
      </c>
      <c r="H328" s="12">
        <v>1</v>
      </c>
      <c r="I328" s="104" t="s">
        <v>22</v>
      </c>
      <c r="J328" s="104" t="s">
        <v>22</v>
      </c>
      <c r="K328" s="12"/>
      <c r="L328" s="16"/>
      <c r="M328" s="33"/>
      <c r="N328" s="129" t="s">
        <v>75</v>
      </c>
      <c r="O328" s="87">
        <f>O329</f>
        <v>15770000</v>
      </c>
      <c r="P328" s="87">
        <f>P329</f>
        <v>9240000</v>
      </c>
      <c r="Q328" s="87">
        <f>Q329+Q333</f>
        <v>800000</v>
      </c>
      <c r="R328" s="82">
        <f t="shared" si="136"/>
        <v>10040000</v>
      </c>
      <c r="S328" s="87">
        <f>S329+S333</f>
        <v>10040000</v>
      </c>
      <c r="T328" s="87">
        <f>T329+T333</f>
        <v>4130000</v>
      </c>
      <c r="U328" s="82">
        <f t="shared" si="133"/>
        <v>14170000</v>
      </c>
      <c r="V328" s="82">
        <f t="shared" si="135"/>
        <v>1600000</v>
      </c>
      <c r="W328" s="82">
        <v>0</v>
      </c>
      <c r="X328" s="82">
        <f t="shared" si="132"/>
        <v>-4130000</v>
      </c>
      <c r="Y328" s="209">
        <f t="shared" si="134"/>
        <v>0.89854153455928976</v>
      </c>
    </row>
    <row r="329" spans="1:25" s="3" customFormat="1" ht="35.25" customHeight="1">
      <c r="A329" s="65">
        <v>7</v>
      </c>
      <c r="B329" s="113" t="s">
        <v>19</v>
      </c>
      <c r="C329" s="113" t="s">
        <v>32</v>
      </c>
      <c r="D329" s="12">
        <v>2</v>
      </c>
      <c r="E329" s="104" t="s">
        <v>19</v>
      </c>
      <c r="F329" s="104" t="s">
        <v>38</v>
      </c>
      <c r="G329" s="12">
        <v>5</v>
      </c>
      <c r="H329" s="12">
        <v>1</v>
      </c>
      <c r="I329" s="104" t="s">
        <v>22</v>
      </c>
      <c r="J329" s="104" t="s">
        <v>22</v>
      </c>
      <c r="K329" s="104" t="s">
        <v>19</v>
      </c>
      <c r="L329" s="12"/>
      <c r="M329" s="96"/>
      <c r="N329" s="129" t="s">
        <v>114</v>
      </c>
      <c r="O329" s="87">
        <f>SUM(O330:O332)</f>
        <v>15770000</v>
      </c>
      <c r="P329" s="87">
        <f>SUM(P330:P332)</f>
        <v>9240000</v>
      </c>
      <c r="Q329" s="87">
        <f>SUM(Q330:Q332)</f>
        <v>800000</v>
      </c>
      <c r="R329" s="82">
        <f t="shared" si="136"/>
        <v>10040000</v>
      </c>
      <c r="S329" s="87">
        <f>SUM(S330:S332)</f>
        <v>10040000</v>
      </c>
      <c r="T329" s="87">
        <f>SUM(T330:T332)</f>
        <v>3130000</v>
      </c>
      <c r="U329" s="82">
        <f t="shared" si="133"/>
        <v>13170000</v>
      </c>
      <c r="V329" s="82">
        <f t="shared" si="135"/>
        <v>2600000</v>
      </c>
      <c r="W329" s="82">
        <v>0</v>
      </c>
      <c r="X329" s="82">
        <f t="shared" si="132"/>
        <v>-3130000</v>
      </c>
      <c r="Y329" s="209">
        <f t="shared" si="134"/>
        <v>0.83512999365884588</v>
      </c>
    </row>
    <row r="330" spans="1:25" s="3" customFormat="1" ht="35.25" customHeight="1">
      <c r="A330" s="67">
        <v>7</v>
      </c>
      <c r="B330" s="114" t="s">
        <v>19</v>
      </c>
      <c r="C330" s="114" t="s">
        <v>32</v>
      </c>
      <c r="D330" s="16">
        <v>2</v>
      </c>
      <c r="E330" s="105" t="s">
        <v>19</v>
      </c>
      <c r="F330" s="105" t="s">
        <v>38</v>
      </c>
      <c r="G330" s="16">
        <v>5</v>
      </c>
      <c r="H330" s="16">
        <v>1</v>
      </c>
      <c r="I330" s="105" t="s">
        <v>22</v>
      </c>
      <c r="J330" s="105" t="s">
        <v>22</v>
      </c>
      <c r="K330" s="105" t="s">
        <v>19</v>
      </c>
      <c r="L330" s="105" t="s">
        <v>27</v>
      </c>
      <c r="M330" s="91">
        <v>3</v>
      </c>
      <c r="N330" s="128" t="s">
        <v>152</v>
      </c>
      <c r="O330" s="84">
        <f>'SPJ FUNGSIONAL '!O336</f>
        <v>3200000</v>
      </c>
      <c r="P330" s="81">
        <f>'[1]LRA SP2D'!$R$330</f>
        <v>2400000</v>
      </c>
      <c r="Q330" s="81">
        <v>800000</v>
      </c>
      <c r="R330" s="81">
        <f t="shared" si="136"/>
        <v>3200000</v>
      </c>
      <c r="S330" s="81">
        <f>'SPJ FUNGSIONAL '!V336</f>
        <v>3200000</v>
      </c>
      <c r="T330" s="81">
        <f>'SPJ FUNGSIONAL '!W336</f>
        <v>0</v>
      </c>
      <c r="U330" s="81">
        <f t="shared" si="133"/>
        <v>3200000</v>
      </c>
      <c r="V330" s="81">
        <f t="shared" si="135"/>
        <v>0</v>
      </c>
      <c r="W330" s="81">
        <v>0</v>
      </c>
      <c r="X330" s="81">
        <f t="shared" si="132"/>
        <v>0</v>
      </c>
      <c r="Y330" s="207">
        <f t="shared" si="134"/>
        <v>1</v>
      </c>
    </row>
    <row r="331" spans="1:25" s="3" customFormat="1" ht="35.25" customHeight="1">
      <c r="A331" s="384">
        <v>7</v>
      </c>
      <c r="B331" s="385" t="s">
        <v>19</v>
      </c>
      <c r="C331" s="385" t="s">
        <v>32</v>
      </c>
      <c r="D331" s="307">
        <v>2</v>
      </c>
      <c r="E331" s="306" t="s">
        <v>19</v>
      </c>
      <c r="F331" s="306" t="s">
        <v>38</v>
      </c>
      <c r="G331" s="307">
        <v>5</v>
      </c>
      <c r="H331" s="307">
        <v>1</v>
      </c>
      <c r="I331" s="306" t="s">
        <v>22</v>
      </c>
      <c r="J331" s="306" t="s">
        <v>22</v>
      </c>
      <c r="K331" s="306" t="s">
        <v>19</v>
      </c>
      <c r="L331" s="306" t="s">
        <v>27</v>
      </c>
      <c r="M331" s="417">
        <v>4</v>
      </c>
      <c r="N331" s="407" t="s">
        <v>275</v>
      </c>
      <c r="O331" s="401">
        <f>'SPJ FUNGSIONAL '!O337</f>
        <v>1320000</v>
      </c>
      <c r="P331" s="81">
        <f t="shared" ref="P331:P332" si="160">S331</f>
        <v>440000</v>
      </c>
      <c r="Q331" s="81"/>
      <c r="R331" s="81">
        <f t="shared" ref="R331:R340" si="161">SUM(P331:Q331)</f>
        <v>440000</v>
      </c>
      <c r="S331" s="81">
        <f>'SPJ FUNGSIONAL '!V337</f>
        <v>440000</v>
      </c>
      <c r="T331" s="81">
        <f>'SPJ FUNGSIONAL '!W337</f>
        <v>880000</v>
      </c>
      <c r="U331" s="81">
        <f t="shared" ref="U331:U340" si="162">SUM(S331:T331)</f>
        <v>1320000</v>
      </c>
      <c r="V331" s="81">
        <f t="shared" ref="V331:V340" si="163">O331-U331</f>
        <v>0</v>
      </c>
      <c r="W331" s="81"/>
      <c r="X331" s="81">
        <f t="shared" ref="X331:X340" si="164">R331-U331</f>
        <v>-880000</v>
      </c>
      <c r="Y331" s="207">
        <f t="shared" ref="Y331:Y340" si="165">U331/O331*100%</f>
        <v>1</v>
      </c>
    </row>
    <row r="332" spans="1:25" s="3" customFormat="1" ht="35.25" customHeight="1">
      <c r="A332" s="384">
        <v>7</v>
      </c>
      <c r="B332" s="385" t="s">
        <v>19</v>
      </c>
      <c r="C332" s="385" t="s">
        <v>32</v>
      </c>
      <c r="D332" s="307">
        <v>2</v>
      </c>
      <c r="E332" s="306" t="s">
        <v>19</v>
      </c>
      <c r="F332" s="306" t="s">
        <v>38</v>
      </c>
      <c r="G332" s="307">
        <v>5</v>
      </c>
      <c r="H332" s="307">
        <v>1</v>
      </c>
      <c r="I332" s="306" t="s">
        <v>22</v>
      </c>
      <c r="J332" s="306" t="s">
        <v>22</v>
      </c>
      <c r="K332" s="306" t="s">
        <v>19</v>
      </c>
      <c r="L332" s="306" t="s">
        <v>52</v>
      </c>
      <c r="M332" s="417">
        <v>7</v>
      </c>
      <c r="N332" s="407" t="s">
        <v>268</v>
      </c>
      <c r="O332" s="401">
        <f>'SPJ FUNGSIONAL '!O338</f>
        <v>11250000</v>
      </c>
      <c r="P332" s="81">
        <f t="shared" si="160"/>
        <v>6400000</v>
      </c>
      <c r="Q332" s="81"/>
      <c r="R332" s="81">
        <f t="shared" si="161"/>
        <v>6400000</v>
      </c>
      <c r="S332" s="81">
        <f>'SPJ FUNGSIONAL '!V338</f>
        <v>6400000</v>
      </c>
      <c r="T332" s="81">
        <f>'SPJ FUNGSIONAL '!W338</f>
        <v>2250000</v>
      </c>
      <c r="U332" s="81">
        <f t="shared" si="162"/>
        <v>8650000</v>
      </c>
      <c r="V332" s="81">
        <f t="shared" si="163"/>
        <v>2600000</v>
      </c>
      <c r="W332" s="81"/>
      <c r="X332" s="81">
        <f t="shared" si="164"/>
        <v>-2250000</v>
      </c>
      <c r="Y332" s="207">
        <f t="shared" si="165"/>
        <v>0.76888888888888884</v>
      </c>
    </row>
    <row r="333" spans="1:25" s="159" customFormat="1" ht="35.25" customHeight="1">
      <c r="A333" s="379">
        <v>7</v>
      </c>
      <c r="B333" s="380" t="s">
        <v>19</v>
      </c>
      <c r="C333" s="380" t="s">
        <v>30</v>
      </c>
      <c r="D333" s="289">
        <v>2</v>
      </c>
      <c r="E333" s="396" t="s">
        <v>22</v>
      </c>
      <c r="F333" s="396" t="s">
        <v>19</v>
      </c>
      <c r="G333" s="397">
        <v>5</v>
      </c>
      <c r="H333" s="397">
        <v>1</v>
      </c>
      <c r="I333" s="396" t="s">
        <v>22</v>
      </c>
      <c r="J333" s="328" t="s">
        <v>22</v>
      </c>
      <c r="K333" s="328" t="s">
        <v>36</v>
      </c>
      <c r="L333" s="329"/>
      <c r="M333" s="330"/>
      <c r="N333" s="323" t="s">
        <v>263</v>
      </c>
      <c r="O333" s="408">
        <f>O334</f>
        <v>1000000</v>
      </c>
      <c r="P333" s="87"/>
      <c r="Q333" s="87"/>
      <c r="R333" s="82"/>
      <c r="S333" s="408">
        <f>S334</f>
        <v>0</v>
      </c>
      <c r="T333" s="408">
        <f t="shared" ref="T333" si="166">T334</f>
        <v>1000000</v>
      </c>
      <c r="U333" s="82">
        <f>SUM(S333:T333)</f>
        <v>1000000</v>
      </c>
      <c r="V333" s="82"/>
      <c r="W333" s="82"/>
      <c r="X333" s="82">
        <f t="shared" ref="X333:X334" si="167">R333-U333</f>
        <v>-1000000</v>
      </c>
      <c r="Y333" s="209">
        <f t="shared" ref="Y333:Y334" si="168">U333/O333*100%</f>
        <v>1</v>
      </c>
    </row>
    <row r="334" spans="1:25" s="3" customFormat="1" ht="35.25" customHeight="1">
      <c r="A334" s="384">
        <v>7</v>
      </c>
      <c r="B334" s="385" t="s">
        <v>19</v>
      </c>
      <c r="C334" s="385" t="s">
        <v>30</v>
      </c>
      <c r="D334" s="307">
        <v>2</v>
      </c>
      <c r="E334" s="400" t="s">
        <v>22</v>
      </c>
      <c r="F334" s="400" t="s">
        <v>19</v>
      </c>
      <c r="G334" s="398">
        <v>5</v>
      </c>
      <c r="H334" s="398">
        <v>1</v>
      </c>
      <c r="I334" s="400" t="s">
        <v>22</v>
      </c>
      <c r="J334" s="314" t="s">
        <v>22</v>
      </c>
      <c r="K334" s="314" t="s">
        <v>36</v>
      </c>
      <c r="L334" s="314" t="s">
        <v>56</v>
      </c>
      <c r="M334" s="326">
        <v>8</v>
      </c>
      <c r="N334" s="407" t="s">
        <v>292</v>
      </c>
      <c r="O334" s="401">
        <f>'SPJ FUNGSIONAL '!O340</f>
        <v>1000000</v>
      </c>
      <c r="P334" s="84"/>
      <c r="Q334" s="84"/>
      <c r="R334" s="81"/>
      <c r="S334" s="81"/>
      <c r="T334" s="81">
        <f>'SPJ FUNGSIONAL '!W340</f>
        <v>1000000</v>
      </c>
      <c r="U334" s="81">
        <f>SUM(S334:T334)</f>
        <v>1000000</v>
      </c>
      <c r="V334" s="81"/>
      <c r="W334" s="81"/>
      <c r="X334" s="81">
        <f t="shared" si="167"/>
        <v>-1000000</v>
      </c>
      <c r="Y334" s="207">
        <f t="shared" si="168"/>
        <v>1</v>
      </c>
    </row>
    <row r="335" spans="1:25" s="3" customFormat="1" ht="35.25" customHeight="1">
      <c r="A335" s="379">
        <v>7</v>
      </c>
      <c r="B335" s="380" t="s">
        <v>19</v>
      </c>
      <c r="C335" s="380" t="s">
        <v>32</v>
      </c>
      <c r="D335" s="289">
        <v>2</v>
      </c>
      <c r="E335" s="302" t="s">
        <v>19</v>
      </c>
      <c r="F335" s="302" t="s">
        <v>38</v>
      </c>
      <c r="G335" s="289">
        <v>5</v>
      </c>
      <c r="H335" s="289">
        <v>1</v>
      </c>
      <c r="I335" s="302" t="s">
        <v>22</v>
      </c>
      <c r="J335" s="302" t="s">
        <v>54</v>
      </c>
      <c r="K335" s="289"/>
      <c r="L335" s="307"/>
      <c r="M335" s="308"/>
      <c r="N335" s="316" t="s">
        <v>68</v>
      </c>
      <c r="O335" s="408">
        <f>O336</f>
        <v>5775000</v>
      </c>
      <c r="P335" s="408">
        <f t="shared" ref="P335:Q336" si="169">P336</f>
        <v>1050000</v>
      </c>
      <c r="Q335" s="408">
        <f t="shared" si="169"/>
        <v>0</v>
      </c>
      <c r="R335" s="82">
        <f t="shared" si="161"/>
        <v>1050000</v>
      </c>
      <c r="S335" s="82">
        <f>S336</f>
        <v>1050000</v>
      </c>
      <c r="T335" s="82">
        <f>T336</f>
        <v>3700000</v>
      </c>
      <c r="U335" s="82">
        <f t="shared" si="162"/>
        <v>4750000</v>
      </c>
      <c r="V335" s="82">
        <f t="shared" si="163"/>
        <v>1025000</v>
      </c>
      <c r="W335" s="82"/>
      <c r="X335" s="82">
        <f t="shared" si="164"/>
        <v>-3700000</v>
      </c>
      <c r="Y335" s="209">
        <f t="shared" si="165"/>
        <v>0.82251082251082253</v>
      </c>
    </row>
    <row r="336" spans="1:25" s="3" customFormat="1" ht="35.25" customHeight="1">
      <c r="A336" s="379">
        <v>7</v>
      </c>
      <c r="B336" s="380" t="s">
        <v>19</v>
      </c>
      <c r="C336" s="380" t="s">
        <v>32</v>
      </c>
      <c r="D336" s="289">
        <v>2</v>
      </c>
      <c r="E336" s="302" t="s">
        <v>19</v>
      </c>
      <c r="F336" s="302" t="s">
        <v>38</v>
      </c>
      <c r="G336" s="289">
        <v>5</v>
      </c>
      <c r="H336" s="289">
        <v>1</v>
      </c>
      <c r="I336" s="302" t="s">
        <v>22</v>
      </c>
      <c r="J336" s="302" t="s">
        <v>54</v>
      </c>
      <c r="K336" s="302" t="s">
        <v>19</v>
      </c>
      <c r="L336" s="307"/>
      <c r="M336" s="308"/>
      <c r="N336" s="410" t="s">
        <v>69</v>
      </c>
      <c r="O336" s="408">
        <f>O337</f>
        <v>5775000</v>
      </c>
      <c r="P336" s="408">
        <f t="shared" si="169"/>
        <v>1050000</v>
      </c>
      <c r="Q336" s="408">
        <f t="shared" si="169"/>
        <v>0</v>
      </c>
      <c r="R336" s="82">
        <f t="shared" si="161"/>
        <v>1050000</v>
      </c>
      <c r="S336" s="82">
        <f>S337</f>
        <v>1050000</v>
      </c>
      <c r="T336" s="82">
        <f>T337</f>
        <v>3700000</v>
      </c>
      <c r="U336" s="82">
        <f t="shared" si="162"/>
        <v>4750000</v>
      </c>
      <c r="V336" s="82">
        <f t="shared" si="163"/>
        <v>1025000</v>
      </c>
      <c r="W336" s="82"/>
      <c r="X336" s="82">
        <f t="shared" si="164"/>
        <v>-3700000</v>
      </c>
      <c r="Y336" s="209">
        <f t="shared" si="165"/>
        <v>0.82251082251082253</v>
      </c>
    </row>
    <row r="337" spans="1:31" s="3" customFormat="1" ht="35.25" customHeight="1">
      <c r="A337" s="384">
        <v>7</v>
      </c>
      <c r="B337" s="385" t="s">
        <v>19</v>
      </c>
      <c r="C337" s="385" t="s">
        <v>32</v>
      </c>
      <c r="D337" s="307">
        <v>2</v>
      </c>
      <c r="E337" s="306" t="s">
        <v>19</v>
      </c>
      <c r="F337" s="306" t="s">
        <v>38</v>
      </c>
      <c r="G337" s="307">
        <v>5</v>
      </c>
      <c r="H337" s="307">
        <v>1</v>
      </c>
      <c r="I337" s="306" t="s">
        <v>22</v>
      </c>
      <c r="J337" s="306" t="s">
        <v>54</v>
      </c>
      <c r="K337" s="306" t="s">
        <v>19</v>
      </c>
      <c r="L337" s="306" t="s">
        <v>27</v>
      </c>
      <c r="M337" s="308">
        <v>3</v>
      </c>
      <c r="N337" s="407" t="s">
        <v>144</v>
      </c>
      <c r="O337" s="401">
        <f>'SPJ FUNGSIONAL '!O343</f>
        <v>5775000</v>
      </c>
      <c r="P337" s="81">
        <f>S337</f>
        <v>1050000</v>
      </c>
      <c r="Q337" s="81"/>
      <c r="R337" s="81">
        <f t="shared" si="161"/>
        <v>1050000</v>
      </c>
      <c r="S337" s="81">
        <f>'SPJ FUNGSIONAL '!V343</f>
        <v>1050000</v>
      </c>
      <c r="T337" s="81">
        <f>'SPJ FUNGSIONAL '!W343</f>
        <v>3700000</v>
      </c>
      <c r="U337" s="81">
        <f t="shared" si="162"/>
        <v>4750000</v>
      </c>
      <c r="V337" s="81">
        <f t="shared" si="163"/>
        <v>1025000</v>
      </c>
      <c r="W337" s="81"/>
      <c r="X337" s="81">
        <f t="shared" si="164"/>
        <v>-3700000</v>
      </c>
      <c r="Y337" s="207">
        <f t="shared" si="165"/>
        <v>0.82251082251082253</v>
      </c>
    </row>
    <row r="338" spans="1:31" s="3" customFormat="1" ht="35.25" customHeight="1">
      <c r="A338" s="379">
        <v>7</v>
      </c>
      <c r="B338" s="380" t="s">
        <v>19</v>
      </c>
      <c r="C338" s="380" t="s">
        <v>32</v>
      </c>
      <c r="D338" s="289">
        <v>2</v>
      </c>
      <c r="E338" s="302" t="s">
        <v>19</v>
      </c>
      <c r="F338" s="302" t="s">
        <v>38</v>
      </c>
      <c r="G338" s="289">
        <v>5</v>
      </c>
      <c r="H338" s="289">
        <v>1</v>
      </c>
      <c r="I338" s="302" t="s">
        <v>22</v>
      </c>
      <c r="J338" s="302" t="s">
        <v>32</v>
      </c>
      <c r="K338" s="289"/>
      <c r="L338" s="307"/>
      <c r="M338" s="308"/>
      <c r="N338" s="316" t="s">
        <v>118</v>
      </c>
      <c r="O338" s="408">
        <f t="shared" ref="O338:Q339" si="170">O339</f>
        <v>18400000</v>
      </c>
      <c r="P338" s="82">
        <f t="shared" si="170"/>
        <v>3100000</v>
      </c>
      <c r="Q338" s="82">
        <f t="shared" si="170"/>
        <v>0</v>
      </c>
      <c r="R338" s="82">
        <f t="shared" si="161"/>
        <v>3100000</v>
      </c>
      <c r="S338" s="82">
        <f>S339</f>
        <v>3100000</v>
      </c>
      <c r="T338" s="82">
        <f>T339</f>
        <v>6100000</v>
      </c>
      <c r="U338" s="82">
        <f t="shared" si="162"/>
        <v>9200000</v>
      </c>
      <c r="V338" s="82">
        <f t="shared" si="163"/>
        <v>9200000</v>
      </c>
      <c r="W338" s="82"/>
      <c r="X338" s="82">
        <f t="shared" si="164"/>
        <v>-6100000</v>
      </c>
      <c r="Y338" s="209">
        <f t="shared" si="165"/>
        <v>0.5</v>
      </c>
    </row>
    <row r="339" spans="1:31" s="3" customFormat="1" ht="35.25" customHeight="1">
      <c r="A339" s="379">
        <v>7</v>
      </c>
      <c r="B339" s="380" t="s">
        <v>19</v>
      </c>
      <c r="C339" s="380" t="s">
        <v>32</v>
      </c>
      <c r="D339" s="289">
        <v>2</v>
      </c>
      <c r="E339" s="302" t="s">
        <v>19</v>
      </c>
      <c r="F339" s="302" t="s">
        <v>38</v>
      </c>
      <c r="G339" s="289">
        <v>5</v>
      </c>
      <c r="H339" s="289">
        <v>1</v>
      </c>
      <c r="I339" s="302" t="s">
        <v>22</v>
      </c>
      <c r="J339" s="302" t="s">
        <v>32</v>
      </c>
      <c r="K339" s="484" t="s">
        <v>19</v>
      </c>
      <c r="L339" s="482"/>
      <c r="M339" s="417"/>
      <c r="N339" s="316" t="s">
        <v>119</v>
      </c>
      <c r="O339" s="408">
        <f t="shared" si="170"/>
        <v>18400000</v>
      </c>
      <c r="P339" s="82">
        <f t="shared" si="170"/>
        <v>3100000</v>
      </c>
      <c r="Q339" s="82">
        <f t="shared" si="170"/>
        <v>0</v>
      </c>
      <c r="R339" s="82">
        <f t="shared" si="161"/>
        <v>3100000</v>
      </c>
      <c r="S339" s="82">
        <f>S340</f>
        <v>3100000</v>
      </c>
      <c r="T339" s="82">
        <f>T340</f>
        <v>6100000</v>
      </c>
      <c r="U339" s="82">
        <f t="shared" si="162"/>
        <v>9200000</v>
      </c>
      <c r="V339" s="82">
        <f t="shared" si="163"/>
        <v>9200000</v>
      </c>
      <c r="W339" s="82"/>
      <c r="X339" s="82">
        <f t="shared" si="164"/>
        <v>-6100000</v>
      </c>
      <c r="Y339" s="209">
        <f t="shared" si="165"/>
        <v>0.5</v>
      </c>
    </row>
    <row r="340" spans="1:31" s="3" customFormat="1" ht="35.25" customHeight="1">
      <c r="A340" s="384">
        <v>7</v>
      </c>
      <c r="B340" s="385" t="s">
        <v>19</v>
      </c>
      <c r="C340" s="385" t="s">
        <v>32</v>
      </c>
      <c r="D340" s="307">
        <v>2</v>
      </c>
      <c r="E340" s="306" t="s">
        <v>19</v>
      </c>
      <c r="F340" s="306" t="s">
        <v>38</v>
      </c>
      <c r="G340" s="307">
        <v>5</v>
      </c>
      <c r="H340" s="307">
        <v>1</v>
      </c>
      <c r="I340" s="306" t="s">
        <v>22</v>
      </c>
      <c r="J340" s="306" t="s">
        <v>32</v>
      </c>
      <c r="K340" s="482" t="s">
        <v>19</v>
      </c>
      <c r="L340" s="482" t="s">
        <v>27</v>
      </c>
      <c r="M340" s="417">
        <v>1</v>
      </c>
      <c r="N340" s="407" t="s">
        <v>272</v>
      </c>
      <c r="O340" s="401">
        <f>'SPJ FUNGSIONAL '!O346</f>
        <v>18400000</v>
      </c>
      <c r="P340" s="81">
        <f>S340</f>
        <v>3100000</v>
      </c>
      <c r="Q340" s="81">
        <v>0</v>
      </c>
      <c r="R340" s="81">
        <f t="shared" si="161"/>
        <v>3100000</v>
      </c>
      <c r="S340" s="81">
        <f>'SPJ FUNGSIONAL '!V346</f>
        <v>3100000</v>
      </c>
      <c r="T340" s="81">
        <f>'SPJ FUNGSIONAL '!W346</f>
        <v>6100000</v>
      </c>
      <c r="U340" s="81">
        <f t="shared" si="162"/>
        <v>9200000</v>
      </c>
      <c r="V340" s="81">
        <f t="shared" si="163"/>
        <v>9200000</v>
      </c>
      <c r="W340" s="81"/>
      <c r="X340" s="81">
        <f t="shared" si="164"/>
        <v>-6100000</v>
      </c>
      <c r="Y340" s="207">
        <f t="shared" si="165"/>
        <v>0.5</v>
      </c>
    </row>
    <row r="341" spans="1:31" s="3" customFormat="1" ht="35.25" customHeight="1">
      <c r="A341" s="67"/>
      <c r="B341" s="114"/>
      <c r="C341" s="114"/>
      <c r="D341" s="16"/>
      <c r="E341" s="105"/>
      <c r="F341" s="105"/>
      <c r="G341" s="16"/>
      <c r="H341" s="16"/>
      <c r="I341" s="105"/>
      <c r="J341" s="105"/>
      <c r="K341" s="105"/>
      <c r="L341" s="105"/>
      <c r="M341" s="33"/>
      <c r="N341" s="488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207"/>
      <c r="AE341" s="227">
        <v>772000000</v>
      </c>
    </row>
    <row r="342" spans="1:31" s="137" customFormat="1" ht="25" customHeight="1">
      <c r="A342" s="61"/>
      <c r="B342" s="61"/>
      <c r="C342" s="61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61"/>
      <c r="O342" s="139"/>
      <c r="P342" s="185"/>
      <c r="Q342" s="185"/>
      <c r="R342" s="185"/>
      <c r="S342" s="185"/>
      <c r="T342" s="185"/>
      <c r="U342" s="185"/>
      <c r="V342" s="185"/>
      <c r="W342" s="185"/>
      <c r="X342" s="185"/>
      <c r="AE342" s="218">
        <v>302044685</v>
      </c>
    </row>
    <row r="343" spans="1:31" s="137" customFormat="1" ht="25" customHeight="1">
      <c r="N343" s="142" t="s">
        <v>198</v>
      </c>
      <c r="O343" s="97"/>
      <c r="P343" s="123"/>
      <c r="Q343" s="123"/>
      <c r="R343" s="123"/>
      <c r="S343" s="123"/>
      <c r="T343" s="123"/>
      <c r="U343" s="188"/>
      <c r="V343" s="189" t="str">
        <f>'SPJ FUNGSIONAL '!V399:Y399</f>
        <v>Padang Panjang, 30 Desember  2022</v>
      </c>
      <c r="W343" s="214"/>
      <c r="X343" s="185"/>
      <c r="AE343" s="218">
        <f>AE341-AE342</f>
        <v>469955315</v>
      </c>
    </row>
    <row r="344" spans="1:31" s="137" customFormat="1" ht="25" customHeight="1">
      <c r="N344" s="142" t="s">
        <v>199</v>
      </c>
      <c r="O344" s="97"/>
      <c r="P344" s="123"/>
      <c r="Q344" s="123"/>
      <c r="R344" s="123"/>
      <c r="S344" s="123"/>
      <c r="T344" s="123"/>
      <c r="U344" s="188"/>
      <c r="V344" s="190"/>
      <c r="W344" s="215"/>
      <c r="X344" s="185"/>
    </row>
    <row r="345" spans="1:31" s="137" customFormat="1" ht="25" customHeight="1">
      <c r="N345" s="142" t="s">
        <v>200</v>
      </c>
      <c r="O345" s="97"/>
      <c r="P345" s="123"/>
      <c r="Q345" s="123"/>
      <c r="R345" s="123"/>
      <c r="S345" s="123"/>
      <c r="T345" s="123"/>
      <c r="U345" s="188"/>
      <c r="V345" s="189" t="s">
        <v>212</v>
      </c>
      <c r="W345" s="215"/>
      <c r="X345" s="185"/>
    </row>
    <row r="346" spans="1:31" s="137" customFormat="1" ht="25" customHeight="1">
      <c r="N346" s="142"/>
      <c r="O346" s="97"/>
      <c r="P346" s="123"/>
      <c r="Q346" s="123"/>
      <c r="R346" s="123"/>
      <c r="S346" s="123"/>
      <c r="T346" s="123"/>
      <c r="U346" s="188"/>
      <c r="V346" s="189"/>
      <c r="W346" s="215"/>
      <c r="X346" s="185"/>
    </row>
    <row r="347" spans="1:31" s="137" customFormat="1" ht="25" customHeight="1">
      <c r="N347" s="142"/>
      <c r="O347" s="97"/>
      <c r="P347" s="123"/>
      <c r="Q347" s="123"/>
      <c r="R347" s="123"/>
      <c r="S347" s="123"/>
      <c r="T347" s="123"/>
      <c r="U347" s="188"/>
      <c r="V347" s="189"/>
      <c r="W347" s="215"/>
      <c r="X347" s="185"/>
    </row>
    <row r="348" spans="1:31" s="137" customFormat="1" ht="25" customHeight="1">
      <c r="N348" s="142"/>
      <c r="O348" s="97"/>
      <c r="P348" s="123"/>
      <c r="Q348" s="123"/>
      <c r="R348" s="123"/>
      <c r="S348" s="123"/>
      <c r="T348" s="123"/>
      <c r="U348" s="188"/>
      <c r="V348" s="189"/>
      <c r="W348" s="215"/>
      <c r="X348" s="185"/>
    </row>
    <row r="349" spans="1:31" s="137" customFormat="1" ht="25" customHeight="1">
      <c r="N349" s="142"/>
      <c r="O349" s="97"/>
      <c r="P349" s="123"/>
      <c r="Q349" s="123"/>
      <c r="R349" s="123"/>
      <c r="S349" s="123"/>
      <c r="T349" s="123"/>
      <c r="U349" s="188"/>
      <c r="V349" s="189"/>
      <c r="W349" s="215"/>
      <c r="X349" s="185"/>
    </row>
    <row r="350" spans="1:31" s="137" customFormat="1" ht="25" customHeight="1">
      <c r="N350" s="142"/>
      <c r="O350" s="97"/>
      <c r="P350" s="123"/>
      <c r="Q350" s="123"/>
      <c r="R350" s="123"/>
      <c r="S350" s="123"/>
      <c r="T350" s="123"/>
      <c r="U350" s="188"/>
      <c r="V350" s="191"/>
      <c r="W350" s="216"/>
      <c r="X350" s="185"/>
    </row>
    <row r="351" spans="1:31" s="137" customFormat="1" ht="25" customHeight="1">
      <c r="N351" s="145"/>
      <c r="O351" s="97"/>
      <c r="P351" s="123"/>
      <c r="Q351" s="123"/>
      <c r="R351" s="123"/>
      <c r="S351" s="123"/>
      <c r="T351" s="123"/>
      <c r="U351" s="188"/>
      <c r="V351" s="191"/>
      <c r="W351" s="217"/>
      <c r="X351" s="185"/>
    </row>
    <row r="352" spans="1:31" s="137" customFormat="1" ht="25" customHeight="1">
      <c r="N352" s="98" t="str">
        <f>'SPJ FUNGSIONAL '!N406</f>
        <v xml:space="preserve">Drs. A S R U L </v>
      </c>
      <c r="O352" s="97"/>
      <c r="P352" s="123"/>
      <c r="Q352" s="123"/>
      <c r="R352" s="123"/>
      <c r="S352" s="123"/>
      <c r="T352" s="123"/>
      <c r="U352" s="188"/>
      <c r="V352" s="221" t="s">
        <v>213</v>
      </c>
      <c r="W352" s="223"/>
      <c r="X352" s="223"/>
      <c r="Y352" s="223"/>
    </row>
    <row r="353" spans="14:25" s="137" customFormat="1" ht="25" customHeight="1">
      <c r="N353" s="99" t="str">
        <f>'SPJ FUNGSIONAL '!N407</f>
        <v>NIP. 196511121997021004</v>
      </c>
      <c r="O353" s="97"/>
      <c r="P353" s="123"/>
      <c r="Q353" s="123"/>
      <c r="R353" s="123"/>
      <c r="S353" s="123"/>
      <c r="T353" s="123"/>
      <c r="U353" s="192"/>
      <c r="V353" s="222" t="s">
        <v>233</v>
      </c>
      <c r="W353" s="224"/>
      <c r="X353" s="224"/>
      <c r="Y353" s="224"/>
    </row>
    <row r="354" spans="14:25" s="137" customFormat="1" ht="25" customHeight="1">
      <c r="N354" s="97"/>
      <c r="O354" s="97"/>
      <c r="P354" s="123"/>
      <c r="Q354" s="123"/>
      <c r="R354" s="123"/>
      <c r="S354" s="123"/>
      <c r="T354" s="123"/>
      <c r="U354" s="192"/>
      <c r="V354" s="123"/>
      <c r="W354" s="217"/>
      <c r="X354" s="185"/>
    </row>
    <row r="355" spans="14:25" s="137" customFormat="1" ht="25" customHeight="1">
      <c r="N355" s="97"/>
      <c r="O355" s="97"/>
      <c r="P355" s="123"/>
      <c r="Q355" s="123"/>
      <c r="R355" s="123"/>
      <c r="S355" s="123"/>
      <c r="T355" s="123"/>
      <c r="U355" s="123"/>
      <c r="V355" s="123"/>
      <c r="W355" s="217"/>
      <c r="X355" s="185"/>
    </row>
    <row r="356" spans="14:25" s="137" customFormat="1" ht="25" customHeight="1">
      <c r="N356" s="97"/>
      <c r="O356" s="97"/>
      <c r="P356" s="123"/>
      <c r="Q356" s="123"/>
      <c r="R356" s="123"/>
      <c r="S356" s="123"/>
      <c r="T356" s="123"/>
      <c r="U356" s="123"/>
      <c r="V356" s="123"/>
      <c r="W356" s="217"/>
      <c r="X356" s="185"/>
    </row>
    <row r="357" spans="14:25" s="137" customFormat="1" ht="25" customHeight="1">
      <c r="O357" s="187"/>
      <c r="P357" s="185"/>
      <c r="Q357" s="185"/>
      <c r="R357" s="185"/>
      <c r="S357" s="185"/>
      <c r="T357" s="185"/>
      <c r="U357" s="185"/>
      <c r="V357" s="185"/>
      <c r="W357" s="185"/>
      <c r="X357" s="185"/>
    </row>
    <row r="358" spans="14:25" s="137" customFormat="1" ht="25" customHeight="1">
      <c r="O358" s="187"/>
      <c r="P358" s="185"/>
      <c r="Q358" s="185"/>
      <c r="R358" s="185"/>
      <c r="S358" s="185"/>
      <c r="T358" s="185"/>
      <c r="U358" s="185"/>
      <c r="V358" s="185"/>
      <c r="W358" s="185"/>
      <c r="X358" s="185"/>
    </row>
    <row r="359" spans="14:25" s="137" customFormat="1" ht="25" customHeight="1">
      <c r="O359" s="187"/>
      <c r="P359" s="185"/>
      <c r="Q359" s="185"/>
      <c r="R359" s="185"/>
      <c r="S359" s="185"/>
      <c r="T359" s="185"/>
      <c r="U359" s="185"/>
      <c r="V359" s="185"/>
      <c r="W359" s="185"/>
      <c r="X359" s="185"/>
    </row>
    <row r="360" spans="14:25" s="137" customFormat="1" ht="25" customHeight="1">
      <c r="O360" s="187"/>
      <c r="P360" s="185"/>
      <c r="Q360" s="185"/>
      <c r="R360" s="185"/>
      <c r="S360" s="185"/>
      <c r="T360" s="185"/>
      <c r="U360" s="185"/>
      <c r="V360" s="185"/>
      <c r="W360" s="185"/>
      <c r="X360" s="185"/>
    </row>
    <row r="361" spans="14:25" s="137" customFormat="1" ht="25" customHeight="1">
      <c r="O361" s="187"/>
      <c r="P361" s="185"/>
      <c r="Q361" s="185"/>
      <c r="R361" s="185"/>
      <c r="S361" s="185"/>
      <c r="T361" s="185"/>
      <c r="U361" s="185"/>
      <c r="V361" s="185"/>
      <c r="W361" s="185"/>
      <c r="X361" s="185"/>
    </row>
    <row r="362" spans="14:25" s="137" customFormat="1" ht="25" customHeight="1">
      <c r="O362" s="187"/>
      <c r="P362" s="185"/>
      <c r="Q362" s="185"/>
      <c r="R362" s="185"/>
      <c r="S362" s="185"/>
      <c r="T362" s="185"/>
      <c r="U362" s="185"/>
      <c r="V362" s="185"/>
      <c r="W362" s="185"/>
      <c r="X362" s="185"/>
    </row>
    <row r="363" spans="14:25" s="137" customFormat="1" ht="25" customHeight="1">
      <c r="O363" s="187"/>
      <c r="P363" s="185"/>
      <c r="Q363" s="185"/>
      <c r="R363" s="185"/>
      <c r="S363" s="185"/>
      <c r="T363" s="185"/>
      <c r="U363" s="185"/>
      <c r="V363" s="185"/>
      <c r="W363" s="185"/>
      <c r="X363" s="185"/>
    </row>
    <row r="364" spans="14:25" s="137" customFormat="1" ht="25" customHeight="1">
      <c r="O364" s="187"/>
      <c r="P364" s="185"/>
      <c r="Q364" s="185"/>
      <c r="R364" s="185"/>
      <c r="S364" s="185"/>
      <c r="T364" s="185"/>
      <c r="U364" s="185"/>
      <c r="V364" s="185"/>
      <c r="W364" s="185"/>
      <c r="X364" s="185"/>
    </row>
    <row r="365" spans="14:25" s="137" customFormat="1" ht="25" customHeight="1">
      <c r="O365" s="187"/>
      <c r="P365" s="185"/>
      <c r="Q365" s="185"/>
      <c r="R365" s="185"/>
      <c r="S365" s="185"/>
      <c r="T365" s="185"/>
      <c r="U365" s="185"/>
      <c r="V365" s="185"/>
      <c r="W365" s="185"/>
      <c r="X365" s="185"/>
    </row>
    <row r="366" spans="14:25" s="137" customFormat="1" ht="25" customHeight="1">
      <c r="O366" s="187"/>
      <c r="P366" s="185"/>
      <c r="Q366" s="185"/>
      <c r="R366" s="185"/>
      <c r="S366" s="185"/>
      <c r="T366" s="185"/>
      <c r="U366" s="185"/>
      <c r="V366" s="185"/>
      <c r="W366" s="185"/>
      <c r="X366" s="185"/>
    </row>
    <row r="367" spans="14:25" s="137" customFormat="1" ht="25" customHeight="1">
      <c r="O367" s="187"/>
      <c r="P367" s="185"/>
      <c r="Q367" s="185"/>
      <c r="R367" s="185"/>
      <c r="S367" s="185"/>
      <c r="T367" s="185"/>
      <c r="U367" s="185"/>
      <c r="V367" s="185"/>
      <c r="W367" s="185"/>
      <c r="X367" s="185"/>
    </row>
    <row r="368" spans="14:25" s="137" customFormat="1" ht="25" customHeight="1">
      <c r="O368" s="187"/>
      <c r="P368" s="185"/>
      <c r="Q368" s="185"/>
      <c r="R368" s="185"/>
      <c r="S368" s="185"/>
      <c r="T368" s="185"/>
      <c r="U368" s="185"/>
      <c r="V368" s="185"/>
      <c r="W368" s="185"/>
      <c r="X368" s="185"/>
    </row>
    <row r="369" spans="15:24" s="137" customFormat="1" ht="25" customHeight="1">
      <c r="O369" s="187"/>
      <c r="P369" s="185"/>
      <c r="Q369" s="185"/>
      <c r="R369" s="185"/>
      <c r="S369" s="185"/>
      <c r="T369" s="185"/>
      <c r="U369" s="185"/>
      <c r="V369" s="185"/>
      <c r="W369" s="185"/>
      <c r="X369" s="185"/>
    </row>
    <row r="370" spans="15:24" s="137" customFormat="1" ht="25" customHeight="1">
      <c r="O370" s="187"/>
      <c r="P370" s="185"/>
      <c r="Q370" s="185"/>
      <c r="R370" s="185"/>
      <c r="S370" s="185"/>
      <c r="T370" s="185"/>
      <c r="U370" s="185"/>
      <c r="V370" s="185"/>
      <c r="W370" s="185"/>
      <c r="X370" s="185"/>
    </row>
    <row r="371" spans="15:24" s="137" customFormat="1" ht="25" customHeight="1">
      <c r="O371" s="187"/>
      <c r="P371" s="185"/>
      <c r="Q371" s="185"/>
      <c r="R371" s="185"/>
      <c r="S371" s="185"/>
      <c r="T371" s="185"/>
      <c r="U371" s="185"/>
      <c r="V371" s="185"/>
      <c r="W371" s="185"/>
      <c r="X371" s="185"/>
    </row>
    <row r="372" spans="15:24" s="137" customFormat="1" ht="25" customHeight="1">
      <c r="O372" s="187"/>
      <c r="P372" s="185"/>
      <c r="Q372" s="185"/>
      <c r="R372" s="185"/>
      <c r="S372" s="185"/>
      <c r="T372" s="185"/>
      <c r="U372" s="185"/>
      <c r="V372" s="185"/>
      <c r="W372" s="185"/>
      <c r="X372" s="185"/>
    </row>
    <row r="373" spans="15:24" s="137" customFormat="1" ht="25" customHeight="1">
      <c r="O373" s="187"/>
      <c r="P373" s="185"/>
      <c r="Q373" s="185"/>
      <c r="R373" s="185"/>
      <c r="S373" s="185"/>
      <c r="T373" s="185"/>
      <c r="U373" s="185"/>
      <c r="V373" s="185"/>
      <c r="W373" s="185"/>
      <c r="X373" s="185"/>
    </row>
    <row r="374" spans="15:24" s="137" customFormat="1" ht="25" customHeight="1">
      <c r="O374" s="187"/>
      <c r="P374" s="185"/>
      <c r="Q374" s="185"/>
      <c r="R374" s="185"/>
      <c r="S374" s="185"/>
      <c r="T374" s="185"/>
      <c r="U374" s="185"/>
      <c r="V374" s="185"/>
      <c r="W374" s="185"/>
      <c r="X374" s="185"/>
    </row>
    <row r="375" spans="15:24" s="137" customFormat="1" ht="25" customHeight="1">
      <c r="O375" s="187"/>
      <c r="P375" s="185"/>
      <c r="Q375" s="185"/>
      <c r="R375" s="185"/>
      <c r="S375" s="185"/>
      <c r="T375" s="185"/>
      <c r="U375" s="185"/>
      <c r="V375" s="185"/>
      <c r="W375" s="185"/>
      <c r="X375" s="185"/>
    </row>
    <row r="376" spans="15:24" s="137" customFormat="1" ht="25" customHeight="1">
      <c r="O376" s="187"/>
      <c r="P376" s="185"/>
      <c r="Q376" s="185"/>
      <c r="R376" s="185"/>
      <c r="S376" s="185"/>
      <c r="T376" s="185"/>
      <c r="U376" s="185"/>
      <c r="V376" s="185"/>
      <c r="W376" s="185"/>
      <c r="X376" s="185"/>
    </row>
    <row r="377" spans="15:24" s="137" customFormat="1" ht="25" customHeight="1">
      <c r="O377" s="187"/>
      <c r="P377" s="185"/>
      <c r="Q377" s="185"/>
      <c r="R377" s="185"/>
      <c r="S377" s="185"/>
      <c r="T377" s="185"/>
      <c r="U377" s="185"/>
      <c r="V377" s="185"/>
      <c r="W377" s="185"/>
      <c r="X377" s="185"/>
    </row>
    <row r="378" spans="15:24" s="137" customFormat="1" ht="25" customHeight="1">
      <c r="O378" s="187"/>
      <c r="P378" s="185"/>
      <c r="Q378" s="185"/>
      <c r="R378" s="185"/>
      <c r="S378" s="185"/>
      <c r="T378" s="185"/>
      <c r="U378" s="185"/>
      <c r="V378" s="185"/>
      <c r="W378" s="185"/>
      <c r="X378" s="185"/>
    </row>
    <row r="379" spans="15:24" s="137" customFormat="1" ht="25" customHeight="1">
      <c r="O379" s="187"/>
      <c r="P379" s="185"/>
      <c r="Q379" s="185"/>
      <c r="R379" s="185"/>
      <c r="S379" s="185"/>
      <c r="T379" s="185"/>
      <c r="U379" s="185"/>
      <c r="V379" s="185"/>
      <c r="W379" s="185"/>
      <c r="X379" s="185"/>
    </row>
    <row r="380" spans="15:24" s="137" customFormat="1" ht="25" customHeight="1">
      <c r="O380" s="187"/>
      <c r="P380" s="185"/>
      <c r="Q380" s="185"/>
      <c r="R380" s="185"/>
      <c r="S380" s="185"/>
      <c r="T380" s="185"/>
      <c r="U380" s="185"/>
      <c r="V380" s="185"/>
      <c r="W380" s="185"/>
      <c r="X380" s="185"/>
    </row>
    <row r="381" spans="15:24" s="137" customFormat="1" ht="25" customHeight="1">
      <c r="O381" s="187"/>
      <c r="P381" s="185"/>
      <c r="Q381" s="185"/>
      <c r="R381" s="185"/>
      <c r="S381" s="185"/>
      <c r="T381" s="185"/>
      <c r="U381" s="185"/>
      <c r="V381" s="185"/>
      <c r="W381" s="185"/>
      <c r="X381" s="185"/>
    </row>
    <row r="382" spans="15:24" s="137" customFormat="1" ht="25" customHeight="1">
      <c r="O382" s="187"/>
      <c r="P382" s="185"/>
      <c r="Q382" s="185"/>
      <c r="R382" s="185"/>
      <c r="S382" s="185"/>
      <c r="T382" s="185"/>
      <c r="U382" s="185"/>
      <c r="V382" s="185"/>
      <c r="W382" s="185"/>
      <c r="X382" s="185"/>
    </row>
    <row r="383" spans="15:24" s="137" customFormat="1" ht="25" customHeight="1">
      <c r="O383" s="187"/>
      <c r="P383" s="185"/>
      <c r="Q383" s="185"/>
      <c r="R383" s="185"/>
      <c r="S383" s="185"/>
      <c r="T383" s="185"/>
      <c r="U383" s="185"/>
      <c r="V383" s="185"/>
      <c r="W383" s="185"/>
      <c r="X383" s="185"/>
    </row>
    <row r="384" spans="15:24" s="137" customFormat="1" ht="25" customHeight="1">
      <c r="O384" s="187"/>
      <c r="P384" s="185"/>
      <c r="Q384" s="185"/>
      <c r="R384" s="185"/>
      <c r="S384" s="185"/>
      <c r="T384" s="185"/>
      <c r="U384" s="185"/>
      <c r="V384" s="185"/>
      <c r="W384" s="185"/>
      <c r="X384" s="185"/>
    </row>
    <row r="385" spans="15:24" s="137" customFormat="1" ht="25" customHeight="1">
      <c r="O385" s="187"/>
      <c r="P385" s="185"/>
      <c r="Q385" s="185"/>
      <c r="R385" s="185"/>
      <c r="S385" s="185"/>
      <c r="T385" s="185"/>
      <c r="U385" s="185"/>
      <c r="V385" s="185"/>
      <c r="W385" s="185"/>
      <c r="X385" s="185"/>
    </row>
    <row r="386" spans="15:24" s="137" customFormat="1" ht="25" customHeight="1">
      <c r="O386" s="187"/>
      <c r="P386" s="185"/>
      <c r="Q386" s="185"/>
      <c r="R386" s="185"/>
      <c r="S386" s="185"/>
      <c r="T386" s="185"/>
      <c r="U386" s="185"/>
      <c r="V386" s="185"/>
      <c r="W386" s="185"/>
      <c r="X386" s="185"/>
    </row>
    <row r="387" spans="15:24" s="137" customFormat="1" ht="25" customHeight="1">
      <c r="O387" s="187"/>
      <c r="P387" s="185"/>
      <c r="Q387" s="185"/>
      <c r="R387" s="185"/>
      <c r="S387" s="185"/>
      <c r="T387" s="185"/>
      <c r="U387" s="185"/>
      <c r="V387" s="185"/>
      <c r="W387" s="185"/>
      <c r="X387" s="185"/>
    </row>
    <row r="388" spans="15:24" s="137" customFormat="1" ht="25" customHeight="1">
      <c r="O388" s="187"/>
      <c r="P388" s="185"/>
      <c r="Q388" s="185"/>
      <c r="R388" s="185"/>
      <c r="S388" s="185"/>
      <c r="T388" s="185"/>
      <c r="U388" s="185"/>
      <c r="V388" s="185"/>
      <c r="W388" s="185"/>
      <c r="X388" s="185"/>
    </row>
    <row r="389" spans="15:24" s="137" customFormat="1" ht="25" customHeight="1">
      <c r="O389" s="187"/>
      <c r="P389" s="185"/>
      <c r="Q389" s="185"/>
      <c r="R389" s="185"/>
      <c r="S389" s="185"/>
      <c r="T389" s="185"/>
      <c r="U389" s="185"/>
      <c r="V389" s="185"/>
      <c r="W389" s="185"/>
      <c r="X389" s="185"/>
    </row>
    <row r="390" spans="15:24" s="137" customFormat="1" ht="25" customHeight="1">
      <c r="O390" s="187"/>
      <c r="P390" s="185"/>
      <c r="Q390" s="185"/>
      <c r="R390" s="185"/>
      <c r="S390" s="185"/>
      <c r="T390" s="185"/>
      <c r="U390" s="185"/>
      <c r="V390" s="185"/>
      <c r="W390" s="185"/>
      <c r="X390" s="185"/>
    </row>
    <row r="391" spans="15:24" s="137" customFormat="1" ht="25" customHeight="1">
      <c r="O391" s="187"/>
      <c r="P391" s="185"/>
      <c r="Q391" s="185"/>
      <c r="R391" s="185"/>
      <c r="S391" s="185"/>
      <c r="T391" s="185"/>
      <c r="U391" s="185"/>
      <c r="V391" s="185"/>
      <c r="W391" s="185"/>
      <c r="X391" s="185"/>
    </row>
    <row r="392" spans="15:24" s="137" customFormat="1" ht="25" customHeight="1">
      <c r="O392" s="187"/>
      <c r="P392" s="185"/>
      <c r="Q392" s="185"/>
      <c r="R392" s="185"/>
      <c r="S392" s="185"/>
      <c r="T392" s="185"/>
      <c r="U392" s="185"/>
      <c r="V392" s="185"/>
      <c r="W392" s="185"/>
      <c r="X392" s="185"/>
    </row>
    <row r="393" spans="15:24" s="137" customFormat="1" ht="25" customHeight="1">
      <c r="O393" s="187"/>
      <c r="P393" s="185"/>
      <c r="Q393" s="185"/>
      <c r="R393" s="185"/>
      <c r="S393" s="185"/>
      <c r="T393" s="185"/>
      <c r="U393" s="185"/>
      <c r="V393" s="185"/>
      <c r="W393" s="185"/>
      <c r="X393" s="185"/>
    </row>
    <row r="394" spans="15:24" s="137" customFormat="1" ht="25" customHeight="1">
      <c r="O394" s="187"/>
      <c r="P394" s="185"/>
      <c r="Q394" s="185"/>
      <c r="R394" s="185"/>
      <c r="S394" s="185"/>
      <c r="T394" s="185"/>
      <c r="U394" s="185"/>
      <c r="V394" s="185"/>
      <c r="W394" s="185"/>
      <c r="X394" s="185"/>
    </row>
    <row r="395" spans="15:24" s="137" customFormat="1" ht="25" customHeight="1">
      <c r="O395" s="187"/>
      <c r="P395" s="185"/>
      <c r="Q395" s="185"/>
      <c r="R395" s="185"/>
      <c r="S395" s="185"/>
      <c r="T395" s="185"/>
      <c r="U395" s="185"/>
      <c r="V395" s="185"/>
      <c r="W395" s="185"/>
      <c r="X395" s="185"/>
    </row>
    <row r="396" spans="15:24" s="137" customFormat="1" ht="25" customHeight="1">
      <c r="O396" s="187"/>
      <c r="P396" s="186"/>
      <c r="Q396" s="186"/>
      <c r="R396" s="186"/>
      <c r="S396" s="185"/>
      <c r="T396" s="185"/>
      <c r="U396" s="185"/>
      <c r="V396" s="185"/>
      <c r="W396" s="185"/>
      <c r="X396" s="185"/>
    </row>
    <row r="397" spans="15:24" s="137" customFormat="1" ht="25" customHeight="1">
      <c r="O397" s="187"/>
      <c r="P397" s="186"/>
      <c r="Q397" s="186"/>
      <c r="R397" s="186"/>
      <c r="S397" s="185"/>
      <c r="T397" s="185"/>
      <c r="U397" s="185"/>
      <c r="V397" s="185"/>
      <c r="W397" s="185"/>
      <c r="X397" s="185"/>
    </row>
    <row r="398" spans="15:24" s="137" customFormat="1" ht="25" customHeight="1">
      <c r="O398" s="187"/>
      <c r="P398" s="186"/>
      <c r="Q398" s="186"/>
      <c r="R398" s="186"/>
      <c r="S398" s="185"/>
      <c r="T398" s="185"/>
      <c r="U398" s="185"/>
      <c r="V398" s="185"/>
      <c r="W398" s="185"/>
      <c r="X398" s="185"/>
    </row>
    <row r="399" spans="15:24" s="137" customFormat="1" ht="25" customHeight="1">
      <c r="O399" s="187"/>
      <c r="P399" s="186"/>
      <c r="Q399" s="186"/>
      <c r="R399" s="186"/>
      <c r="S399" s="185"/>
      <c r="T399" s="185"/>
      <c r="U399" s="185"/>
      <c r="V399" s="185"/>
      <c r="W399" s="185"/>
      <c r="X399" s="185"/>
    </row>
    <row r="400" spans="15:24" s="137" customFormat="1" ht="25" customHeight="1">
      <c r="O400" s="187"/>
      <c r="P400" s="186"/>
      <c r="Q400" s="186"/>
      <c r="R400" s="186"/>
      <c r="S400" s="185"/>
      <c r="T400" s="185"/>
      <c r="U400" s="185"/>
      <c r="V400" s="185"/>
      <c r="W400" s="185"/>
      <c r="X400" s="185"/>
    </row>
    <row r="401" spans="15:24" s="137" customFormat="1" ht="25" customHeight="1">
      <c r="O401" s="187"/>
      <c r="P401" s="186"/>
      <c r="Q401" s="186"/>
      <c r="R401" s="186"/>
      <c r="S401" s="185"/>
      <c r="T401" s="185"/>
      <c r="U401" s="185"/>
      <c r="V401" s="185"/>
      <c r="W401" s="185"/>
      <c r="X401" s="185"/>
    </row>
    <row r="402" spans="15:24" s="137" customFormat="1" ht="25" customHeight="1">
      <c r="O402" s="187"/>
      <c r="P402" s="186"/>
      <c r="Q402" s="186"/>
      <c r="R402" s="186"/>
      <c r="S402" s="185"/>
      <c r="T402" s="185"/>
      <c r="U402" s="185"/>
      <c r="V402" s="185"/>
      <c r="W402" s="185"/>
      <c r="X402" s="185"/>
    </row>
    <row r="403" spans="15:24" s="137" customFormat="1" ht="25" customHeight="1">
      <c r="O403" s="187"/>
      <c r="P403" s="186"/>
      <c r="Q403" s="186"/>
      <c r="R403" s="186"/>
      <c r="S403" s="185"/>
      <c r="T403" s="185"/>
      <c r="U403" s="185"/>
      <c r="V403" s="185"/>
      <c r="W403" s="185"/>
      <c r="X403" s="185"/>
    </row>
    <row r="404" spans="15:24" s="137" customFormat="1" ht="25" customHeight="1">
      <c r="O404" s="187"/>
      <c r="P404" s="186"/>
      <c r="Q404" s="186"/>
      <c r="R404" s="186"/>
      <c r="S404" s="185"/>
      <c r="T404" s="185"/>
      <c r="U404" s="185"/>
      <c r="V404" s="185"/>
      <c r="W404" s="185"/>
      <c r="X404" s="185"/>
    </row>
    <row r="405" spans="15:24" s="137" customFormat="1" ht="25" customHeight="1">
      <c r="O405" s="187"/>
      <c r="P405" s="186"/>
      <c r="Q405" s="186"/>
      <c r="R405" s="186"/>
      <c r="S405" s="185"/>
      <c r="T405" s="185"/>
      <c r="U405" s="185"/>
      <c r="V405" s="185"/>
      <c r="W405" s="185"/>
      <c r="X405" s="185"/>
    </row>
    <row r="406" spans="15:24" s="137" customFormat="1" ht="25" customHeight="1">
      <c r="O406" s="187"/>
      <c r="P406" s="186"/>
      <c r="Q406" s="186"/>
      <c r="R406" s="186"/>
      <c r="S406" s="186"/>
      <c r="T406" s="186"/>
      <c r="U406" s="186"/>
      <c r="V406" s="186"/>
      <c r="W406" s="185"/>
      <c r="X406" s="185"/>
    </row>
    <row r="407" spans="15:24" s="137" customFormat="1" ht="25" customHeight="1">
      <c r="O407" s="187"/>
      <c r="P407" s="186"/>
      <c r="Q407" s="186"/>
      <c r="R407" s="186"/>
      <c r="S407" s="186"/>
      <c r="T407" s="186"/>
      <c r="U407" s="186"/>
      <c r="V407" s="186"/>
      <c r="W407" s="185"/>
      <c r="X407" s="185"/>
    </row>
    <row r="408" spans="15:24" s="137" customFormat="1" ht="25" customHeight="1">
      <c r="O408" s="187"/>
      <c r="P408" s="186"/>
      <c r="Q408" s="186"/>
      <c r="R408" s="186"/>
      <c r="S408" s="186"/>
      <c r="T408" s="186"/>
      <c r="U408" s="186"/>
      <c r="V408" s="186"/>
      <c r="W408" s="185"/>
      <c r="X408" s="185"/>
    </row>
    <row r="409" spans="15:24" s="137" customFormat="1" ht="25" customHeight="1">
      <c r="O409" s="187"/>
      <c r="P409" s="186"/>
      <c r="Q409" s="186"/>
      <c r="R409" s="186"/>
      <c r="S409" s="186"/>
      <c r="T409" s="186"/>
      <c r="U409" s="186"/>
      <c r="V409" s="186"/>
      <c r="W409" s="185"/>
      <c r="X409" s="185"/>
    </row>
    <row r="410" spans="15:24" s="137" customFormat="1" ht="25" customHeight="1">
      <c r="O410" s="187"/>
      <c r="P410" s="186"/>
      <c r="Q410" s="186"/>
      <c r="R410" s="186"/>
      <c r="S410" s="186"/>
      <c r="T410" s="186"/>
      <c r="U410" s="186"/>
      <c r="V410" s="186"/>
      <c r="W410" s="185"/>
      <c r="X410" s="185"/>
    </row>
    <row r="411" spans="15:24" s="137" customFormat="1" ht="25" customHeight="1">
      <c r="O411" s="187"/>
      <c r="P411" s="186"/>
      <c r="Q411" s="186"/>
      <c r="R411" s="186"/>
      <c r="S411" s="186"/>
      <c r="T411" s="186"/>
      <c r="U411" s="186"/>
      <c r="V411" s="186"/>
      <c r="W411" s="185"/>
      <c r="X411" s="185"/>
    </row>
    <row r="412" spans="15:24" s="137" customFormat="1" ht="25" customHeight="1">
      <c r="P412" s="140"/>
      <c r="Q412" s="140"/>
      <c r="R412" s="140"/>
      <c r="S412" s="140"/>
      <c r="T412" s="140"/>
      <c r="U412" s="140"/>
      <c r="V412" s="140"/>
      <c r="W412" s="218"/>
      <c r="X412" s="218"/>
    </row>
    <row r="413" spans="15:24" s="137" customFormat="1" ht="25" customHeight="1">
      <c r="P413" s="140"/>
      <c r="Q413" s="140"/>
      <c r="R413" s="140"/>
      <c r="S413" s="140"/>
      <c r="T413" s="140"/>
      <c r="U413" s="140"/>
      <c r="V413" s="140"/>
      <c r="W413" s="218"/>
      <c r="X413" s="218"/>
    </row>
    <row r="414" spans="15:24" s="137" customFormat="1" ht="25" customHeight="1">
      <c r="P414" s="140"/>
      <c r="Q414" s="140"/>
      <c r="R414" s="140"/>
      <c r="S414" s="140"/>
      <c r="T414" s="140"/>
      <c r="U414" s="140"/>
      <c r="V414" s="140"/>
      <c r="W414" s="218"/>
      <c r="X414" s="218"/>
    </row>
    <row r="415" spans="15:24" s="137" customFormat="1" ht="25" customHeight="1">
      <c r="P415" s="140"/>
      <c r="Q415" s="140"/>
      <c r="R415" s="140"/>
      <c r="S415" s="140"/>
      <c r="T415" s="140"/>
      <c r="U415" s="140"/>
      <c r="V415" s="140"/>
      <c r="W415" s="218"/>
      <c r="X415" s="218"/>
    </row>
    <row r="416" spans="15:24" s="137" customFormat="1" ht="25" customHeight="1">
      <c r="P416" s="140"/>
      <c r="Q416" s="140"/>
      <c r="R416" s="140"/>
      <c r="S416" s="140"/>
      <c r="T416" s="140"/>
      <c r="U416" s="140"/>
      <c r="V416" s="140"/>
      <c r="W416" s="218"/>
      <c r="X416" s="218"/>
    </row>
    <row r="417" spans="16:24" s="137" customFormat="1" ht="25" customHeight="1">
      <c r="P417" s="140"/>
      <c r="Q417" s="140"/>
      <c r="R417" s="140"/>
      <c r="S417" s="140"/>
      <c r="T417" s="140"/>
      <c r="U417" s="140"/>
      <c r="V417" s="140"/>
      <c r="W417" s="218"/>
      <c r="X417" s="218"/>
    </row>
    <row r="418" spans="16:24" s="137" customFormat="1" ht="25" customHeight="1">
      <c r="P418" s="140"/>
      <c r="Q418" s="140"/>
      <c r="R418" s="140"/>
      <c r="S418" s="140"/>
      <c r="T418" s="140"/>
      <c r="U418" s="140"/>
      <c r="V418" s="140"/>
      <c r="W418" s="218"/>
      <c r="X418" s="218"/>
    </row>
    <row r="419" spans="16:24" s="137" customFormat="1" ht="25" customHeight="1">
      <c r="P419" s="140"/>
      <c r="Q419" s="140"/>
      <c r="R419" s="140"/>
      <c r="S419" s="140"/>
      <c r="T419" s="140"/>
      <c r="U419" s="140"/>
      <c r="V419" s="140"/>
      <c r="W419" s="218"/>
      <c r="X419" s="218"/>
    </row>
    <row r="420" spans="16:24" s="137" customFormat="1" ht="25" customHeight="1">
      <c r="P420" s="140"/>
      <c r="Q420" s="140"/>
      <c r="R420" s="140"/>
      <c r="S420" s="140"/>
      <c r="T420" s="140"/>
      <c r="U420" s="140"/>
      <c r="V420" s="140"/>
      <c r="W420" s="218"/>
      <c r="X420" s="218"/>
    </row>
    <row r="421" spans="16:24" s="137" customFormat="1" ht="25" customHeight="1">
      <c r="P421" s="140"/>
      <c r="Q421" s="140"/>
      <c r="R421" s="140"/>
      <c r="S421" s="140"/>
      <c r="T421" s="140"/>
      <c r="U421" s="140"/>
      <c r="V421" s="140"/>
      <c r="W421" s="218"/>
      <c r="X421" s="218"/>
    </row>
    <row r="422" spans="16:24" s="137" customFormat="1" ht="25" customHeight="1">
      <c r="P422" s="140"/>
      <c r="Q422" s="140"/>
      <c r="R422" s="140"/>
      <c r="S422" s="140"/>
      <c r="T422" s="140"/>
      <c r="U422" s="140"/>
      <c r="V422" s="140"/>
      <c r="W422" s="218"/>
      <c r="X422" s="218"/>
    </row>
    <row r="423" spans="16:24" s="137" customFormat="1" ht="25" customHeight="1">
      <c r="P423" s="140"/>
      <c r="Q423" s="140"/>
      <c r="R423" s="140"/>
      <c r="S423" s="140"/>
      <c r="T423" s="140"/>
      <c r="U423" s="140"/>
      <c r="V423" s="140"/>
      <c r="W423" s="218"/>
      <c r="X423" s="218"/>
    </row>
    <row r="424" spans="16:24" s="137" customFormat="1" ht="25" customHeight="1">
      <c r="P424" s="140"/>
      <c r="Q424" s="140"/>
      <c r="R424" s="140"/>
      <c r="S424" s="140"/>
      <c r="T424" s="140"/>
      <c r="U424" s="140"/>
      <c r="V424" s="140"/>
      <c r="W424" s="218"/>
      <c r="X424" s="218"/>
    </row>
    <row r="425" spans="16:24" s="137" customFormat="1" ht="25" customHeight="1">
      <c r="P425" s="140"/>
      <c r="Q425" s="140"/>
      <c r="R425" s="140"/>
      <c r="S425" s="140"/>
      <c r="T425" s="140"/>
      <c r="U425" s="140"/>
      <c r="V425" s="140"/>
      <c r="W425" s="218"/>
      <c r="X425" s="218"/>
    </row>
    <row r="426" spans="16:24" s="137" customFormat="1" ht="25" customHeight="1">
      <c r="P426" s="140"/>
      <c r="Q426" s="140"/>
      <c r="R426" s="140"/>
      <c r="S426" s="140"/>
      <c r="T426" s="140"/>
      <c r="U426" s="140"/>
      <c r="V426" s="140"/>
      <c r="W426" s="218"/>
      <c r="X426" s="218"/>
    </row>
    <row r="427" spans="16:24" s="137" customFormat="1" ht="25" customHeight="1">
      <c r="P427" s="140"/>
      <c r="Q427" s="140"/>
      <c r="R427" s="140"/>
      <c r="S427" s="140"/>
      <c r="T427" s="140"/>
      <c r="U427" s="140"/>
      <c r="V427" s="140"/>
      <c r="W427" s="218"/>
      <c r="X427" s="218"/>
    </row>
    <row r="428" spans="16:24" s="137" customFormat="1" ht="25" customHeight="1">
      <c r="P428" s="140"/>
      <c r="Q428" s="140"/>
      <c r="R428" s="140"/>
      <c r="S428" s="140"/>
      <c r="T428" s="140"/>
      <c r="U428" s="140"/>
      <c r="V428" s="140"/>
      <c r="W428" s="218"/>
      <c r="X428" s="218"/>
    </row>
    <row r="429" spans="16:24" s="137" customFormat="1" ht="25" customHeight="1">
      <c r="P429" s="140"/>
      <c r="Q429" s="140"/>
      <c r="R429" s="140"/>
      <c r="S429" s="140"/>
      <c r="T429" s="140"/>
      <c r="U429" s="140"/>
      <c r="V429" s="140"/>
      <c r="W429" s="218"/>
      <c r="X429" s="218"/>
    </row>
    <row r="430" spans="16:24" s="137" customFormat="1" ht="25" customHeight="1">
      <c r="P430" s="140"/>
      <c r="Q430" s="140"/>
      <c r="R430" s="140"/>
      <c r="S430" s="140"/>
      <c r="T430" s="140"/>
      <c r="U430" s="140"/>
      <c r="V430" s="140"/>
      <c r="W430" s="218"/>
      <c r="X430" s="218"/>
    </row>
    <row r="431" spans="16:24" s="137" customFormat="1" ht="25" customHeight="1">
      <c r="P431" s="140"/>
      <c r="Q431" s="140"/>
      <c r="R431" s="140"/>
      <c r="S431" s="140"/>
      <c r="T431" s="140"/>
      <c r="U431" s="140"/>
      <c r="V431" s="140"/>
      <c r="W431" s="218"/>
      <c r="X431" s="218"/>
    </row>
    <row r="432" spans="16:24" s="137" customFormat="1" ht="25" customHeight="1">
      <c r="P432" s="140"/>
      <c r="Q432" s="140"/>
      <c r="R432" s="140"/>
      <c r="S432" s="140"/>
      <c r="T432" s="140"/>
      <c r="U432" s="140"/>
      <c r="V432" s="140"/>
      <c r="W432" s="218"/>
      <c r="X432" s="218"/>
    </row>
    <row r="433" spans="16:24" s="137" customFormat="1" ht="25" customHeight="1">
      <c r="P433" s="140"/>
      <c r="Q433" s="140"/>
      <c r="R433" s="140"/>
      <c r="S433" s="140"/>
      <c r="T433" s="140"/>
      <c r="U433" s="140"/>
      <c r="V433" s="140"/>
      <c r="W433" s="218"/>
      <c r="X433" s="218"/>
    </row>
    <row r="434" spans="16:24" s="137" customFormat="1" ht="25" customHeight="1">
      <c r="P434" s="140"/>
      <c r="Q434" s="140"/>
      <c r="R434" s="140"/>
      <c r="S434" s="140"/>
      <c r="T434" s="140"/>
      <c r="U434" s="140"/>
      <c r="V434" s="140"/>
      <c r="W434" s="218"/>
      <c r="X434" s="218"/>
    </row>
    <row r="435" spans="16:24" s="137" customFormat="1" ht="25" customHeight="1">
      <c r="P435" s="140"/>
      <c r="Q435" s="140"/>
      <c r="R435" s="140"/>
      <c r="S435" s="140"/>
      <c r="T435" s="140"/>
      <c r="U435" s="140"/>
      <c r="V435" s="140"/>
      <c r="W435" s="218"/>
      <c r="X435" s="218"/>
    </row>
    <row r="436" spans="16:24" s="137" customFormat="1" ht="25" customHeight="1">
      <c r="P436" s="140"/>
      <c r="Q436" s="140"/>
      <c r="R436" s="140"/>
      <c r="S436" s="140"/>
      <c r="T436" s="140"/>
      <c r="U436" s="140"/>
      <c r="V436" s="140"/>
      <c r="W436" s="218"/>
      <c r="X436" s="218"/>
    </row>
    <row r="437" spans="16:24" s="137" customFormat="1" ht="25" customHeight="1">
      <c r="P437" s="140"/>
      <c r="Q437" s="140"/>
      <c r="R437" s="140"/>
      <c r="S437" s="140"/>
      <c r="T437" s="140"/>
      <c r="U437" s="140"/>
      <c r="V437" s="140"/>
      <c r="W437" s="218"/>
      <c r="X437" s="218"/>
    </row>
    <row r="438" spans="16:24" s="137" customFormat="1" ht="25" customHeight="1">
      <c r="P438" s="140"/>
      <c r="Q438" s="140"/>
      <c r="R438" s="140"/>
      <c r="S438" s="140"/>
      <c r="T438" s="140"/>
      <c r="U438" s="140"/>
      <c r="V438" s="140"/>
      <c r="W438" s="218"/>
      <c r="X438" s="218"/>
    </row>
    <row r="439" spans="16:24" s="137" customFormat="1" ht="25" customHeight="1">
      <c r="P439" s="140"/>
      <c r="Q439" s="140"/>
      <c r="R439" s="140"/>
      <c r="S439" s="140"/>
      <c r="T439" s="140"/>
      <c r="U439" s="140"/>
      <c r="V439" s="140"/>
      <c r="W439" s="218"/>
      <c r="X439" s="218"/>
    </row>
    <row r="440" spans="16:24" s="137" customFormat="1" ht="25" customHeight="1">
      <c r="P440" s="140"/>
      <c r="Q440" s="140"/>
      <c r="R440" s="140"/>
      <c r="S440" s="140"/>
      <c r="T440" s="140"/>
      <c r="U440" s="140"/>
      <c r="V440" s="140"/>
      <c r="W440" s="218"/>
      <c r="X440" s="218"/>
    </row>
    <row r="441" spans="16:24" s="137" customFormat="1" ht="25" customHeight="1">
      <c r="P441" s="140"/>
      <c r="Q441" s="140"/>
      <c r="R441" s="140"/>
      <c r="S441" s="140"/>
      <c r="T441" s="140"/>
      <c r="U441" s="140"/>
      <c r="V441" s="140"/>
      <c r="W441" s="218"/>
      <c r="X441" s="218"/>
    </row>
    <row r="442" spans="16:24" s="137" customFormat="1" ht="25" customHeight="1">
      <c r="P442" s="140"/>
      <c r="Q442" s="140"/>
      <c r="R442" s="140"/>
      <c r="S442" s="140"/>
      <c r="T442" s="140"/>
      <c r="U442" s="140"/>
      <c r="V442" s="140"/>
      <c r="W442" s="218"/>
      <c r="X442" s="218"/>
    </row>
    <row r="443" spans="16:24" s="137" customFormat="1" ht="25" customHeight="1">
      <c r="P443" s="140"/>
      <c r="Q443" s="140"/>
      <c r="R443" s="140"/>
      <c r="S443" s="140"/>
      <c r="T443" s="140"/>
      <c r="U443" s="140"/>
      <c r="V443" s="140"/>
      <c r="W443" s="218"/>
      <c r="X443" s="218"/>
    </row>
    <row r="444" spans="16:24" s="137" customFormat="1" ht="25" customHeight="1">
      <c r="P444" s="140"/>
      <c r="Q444" s="140"/>
      <c r="R444" s="140"/>
      <c r="S444" s="140"/>
      <c r="T444" s="140"/>
      <c r="U444" s="140"/>
      <c r="V444" s="140"/>
      <c r="W444" s="218"/>
      <c r="X444" s="218"/>
    </row>
    <row r="445" spans="16:24" s="137" customFormat="1" ht="25" customHeight="1">
      <c r="P445" s="140"/>
      <c r="Q445" s="140"/>
      <c r="R445" s="140"/>
      <c r="S445" s="140"/>
      <c r="T445" s="140"/>
      <c r="U445" s="140"/>
      <c r="V445" s="140"/>
      <c r="W445" s="218"/>
      <c r="X445" s="218"/>
    </row>
    <row r="446" spans="16:24" s="137" customFormat="1" ht="25" customHeight="1">
      <c r="P446" s="140"/>
      <c r="Q446" s="140"/>
      <c r="R446" s="140"/>
      <c r="S446" s="140"/>
      <c r="T446" s="140"/>
      <c r="U446" s="140"/>
      <c r="V446" s="140"/>
      <c r="W446" s="218"/>
      <c r="X446" s="218"/>
    </row>
    <row r="447" spans="16:24" s="137" customFormat="1" ht="25" customHeight="1">
      <c r="P447" s="140"/>
      <c r="Q447" s="140"/>
      <c r="R447" s="140"/>
      <c r="S447" s="140"/>
      <c r="T447" s="140"/>
      <c r="U447" s="140"/>
      <c r="V447" s="140"/>
      <c r="W447" s="218"/>
      <c r="X447" s="218"/>
    </row>
    <row r="448" spans="16:24" s="137" customFormat="1" ht="25" customHeight="1">
      <c r="P448" s="140"/>
      <c r="Q448" s="140"/>
      <c r="R448" s="140"/>
      <c r="S448" s="140"/>
      <c r="T448" s="140"/>
      <c r="U448" s="140"/>
      <c r="V448" s="140"/>
      <c r="W448" s="218"/>
      <c r="X448" s="218"/>
    </row>
    <row r="449" spans="16:24" s="137" customFormat="1" ht="25" customHeight="1">
      <c r="P449" s="140"/>
      <c r="Q449" s="140"/>
      <c r="R449" s="140"/>
      <c r="S449" s="140"/>
      <c r="T449" s="140"/>
      <c r="U449" s="140"/>
      <c r="V449" s="140"/>
      <c r="W449" s="218"/>
      <c r="X449" s="218"/>
    </row>
    <row r="450" spans="16:24" s="137" customFormat="1" ht="25" customHeight="1">
      <c r="P450" s="140"/>
      <c r="Q450" s="140"/>
      <c r="R450" s="140"/>
      <c r="S450" s="140"/>
      <c r="T450" s="140"/>
      <c r="U450" s="140"/>
      <c r="V450" s="140"/>
      <c r="W450" s="218"/>
      <c r="X450" s="218"/>
    </row>
    <row r="451" spans="16:24" s="137" customFormat="1" ht="25" customHeight="1">
      <c r="P451" s="140"/>
      <c r="Q451" s="140"/>
      <c r="R451" s="140"/>
      <c r="S451" s="140"/>
      <c r="T451" s="140"/>
      <c r="U451" s="140"/>
      <c r="V451" s="140"/>
      <c r="W451" s="218"/>
      <c r="X451" s="218"/>
    </row>
    <row r="452" spans="16:24" s="137" customFormat="1" ht="25" customHeight="1">
      <c r="P452" s="140"/>
      <c r="Q452" s="140"/>
      <c r="R452" s="140"/>
      <c r="S452" s="140"/>
      <c r="T452" s="140"/>
      <c r="U452" s="140"/>
      <c r="V452" s="140"/>
      <c r="W452" s="218"/>
      <c r="X452" s="218"/>
    </row>
    <row r="453" spans="16:24" s="137" customFormat="1" ht="25" customHeight="1">
      <c r="P453" s="140"/>
      <c r="Q453" s="140"/>
      <c r="R453" s="140"/>
      <c r="S453" s="140"/>
      <c r="T453" s="140"/>
      <c r="U453" s="140"/>
      <c r="V453" s="140"/>
      <c r="W453" s="218"/>
      <c r="X453" s="218"/>
    </row>
    <row r="454" spans="16:24" s="137" customFormat="1" ht="25" customHeight="1">
      <c r="P454" s="140"/>
      <c r="Q454" s="140"/>
      <c r="R454" s="140"/>
      <c r="S454" s="140"/>
      <c r="T454" s="140"/>
      <c r="U454" s="140"/>
      <c r="V454" s="140"/>
      <c r="W454" s="218"/>
      <c r="X454" s="218"/>
    </row>
    <row r="455" spans="16:24" s="137" customFormat="1" ht="25" customHeight="1">
      <c r="P455" s="140"/>
      <c r="Q455" s="140"/>
      <c r="R455" s="140"/>
      <c r="S455" s="140"/>
      <c r="T455" s="140"/>
      <c r="U455" s="140"/>
      <c r="V455" s="140"/>
      <c r="W455" s="218"/>
      <c r="X455" s="218"/>
    </row>
    <row r="456" spans="16:24" s="137" customFormat="1" ht="16.3">
      <c r="P456" s="140"/>
      <c r="Q456" s="140"/>
      <c r="R456" s="140"/>
      <c r="S456" s="140"/>
      <c r="T456" s="140"/>
      <c r="U456" s="140"/>
      <c r="V456" s="140"/>
      <c r="W456" s="218"/>
      <c r="X456" s="218"/>
    </row>
    <row r="457" spans="16:24" s="137" customFormat="1" ht="16.3">
      <c r="P457" s="140"/>
      <c r="Q457" s="140"/>
      <c r="R457" s="140"/>
      <c r="S457" s="140"/>
      <c r="T457" s="140"/>
      <c r="U457" s="140"/>
      <c r="V457" s="140"/>
      <c r="W457" s="218"/>
      <c r="X457" s="218"/>
    </row>
    <row r="458" spans="16:24" s="137" customFormat="1" ht="16.3">
      <c r="P458" s="140"/>
      <c r="Q458" s="140"/>
      <c r="R458" s="140"/>
      <c r="S458" s="140"/>
      <c r="T458" s="140"/>
      <c r="U458" s="140"/>
      <c r="V458" s="140"/>
      <c r="W458" s="218"/>
      <c r="X458" s="218"/>
    </row>
    <row r="459" spans="16:24" s="137" customFormat="1" ht="16.3">
      <c r="P459" s="140"/>
      <c r="Q459" s="140"/>
      <c r="R459" s="140"/>
      <c r="S459" s="140"/>
      <c r="T459" s="140"/>
      <c r="U459" s="140"/>
      <c r="V459" s="140"/>
      <c r="W459" s="218"/>
      <c r="X459" s="218"/>
    </row>
    <row r="460" spans="16:24" s="137" customFormat="1" ht="16.3">
      <c r="P460" s="140"/>
      <c r="Q460" s="140"/>
      <c r="R460" s="140"/>
      <c r="S460" s="140"/>
      <c r="T460" s="140"/>
      <c r="U460" s="140"/>
      <c r="V460" s="140"/>
      <c r="W460" s="218"/>
      <c r="X460" s="218"/>
    </row>
    <row r="461" spans="16:24" s="137" customFormat="1" ht="16.3">
      <c r="P461" s="140"/>
      <c r="Q461" s="140"/>
      <c r="R461" s="140"/>
      <c r="S461" s="140"/>
      <c r="T461" s="140"/>
      <c r="U461" s="140"/>
      <c r="V461" s="140"/>
      <c r="W461" s="218"/>
      <c r="X461" s="218"/>
    </row>
    <row r="462" spans="16:24" s="137" customFormat="1" ht="16.3">
      <c r="P462" s="140"/>
      <c r="Q462" s="140"/>
      <c r="R462" s="140"/>
      <c r="S462" s="140"/>
      <c r="T462" s="140"/>
      <c r="U462" s="140"/>
      <c r="V462" s="140"/>
      <c r="W462" s="218"/>
      <c r="X462" s="218"/>
    </row>
    <row r="463" spans="16:24" s="137" customFormat="1" ht="16.3">
      <c r="P463" s="140"/>
      <c r="Q463" s="140"/>
      <c r="R463" s="140"/>
      <c r="S463" s="140"/>
      <c r="T463" s="140"/>
      <c r="U463" s="140"/>
      <c r="V463" s="140"/>
      <c r="W463" s="218"/>
      <c r="X463" s="218"/>
    </row>
    <row r="464" spans="16:24" s="137" customFormat="1" ht="16.3">
      <c r="P464" s="140"/>
      <c r="Q464" s="140"/>
      <c r="R464" s="140"/>
      <c r="S464" s="140"/>
      <c r="T464" s="140"/>
      <c r="U464" s="140"/>
      <c r="V464" s="140"/>
      <c r="W464" s="218"/>
      <c r="X464" s="218"/>
    </row>
    <row r="465" spans="16:24" s="137" customFormat="1" ht="16.3">
      <c r="P465" s="140"/>
      <c r="Q465" s="140"/>
      <c r="R465" s="140"/>
      <c r="S465" s="140"/>
      <c r="T465" s="140"/>
      <c r="U465" s="140"/>
      <c r="V465" s="140"/>
      <c r="W465" s="218"/>
      <c r="X465" s="218"/>
    </row>
    <row r="466" spans="16:24" s="137" customFormat="1" ht="16.3">
      <c r="P466" s="140"/>
      <c r="Q466" s="140"/>
      <c r="R466" s="140"/>
      <c r="S466" s="140"/>
      <c r="T466" s="140"/>
      <c r="U466" s="140"/>
      <c r="V466" s="140"/>
      <c r="W466" s="218"/>
      <c r="X466" s="218"/>
    </row>
    <row r="467" spans="16:24" s="137" customFormat="1" ht="16.3">
      <c r="P467" s="140"/>
      <c r="Q467" s="140"/>
      <c r="R467" s="140"/>
      <c r="S467" s="140"/>
      <c r="T467" s="140"/>
      <c r="U467" s="140"/>
      <c r="V467" s="140"/>
      <c r="W467" s="218"/>
      <c r="X467" s="218"/>
    </row>
    <row r="468" spans="16:24" s="137" customFormat="1" ht="16.3">
      <c r="P468" s="140"/>
      <c r="Q468" s="140"/>
      <c r="R468" s="140"/>
      <c r="S468" s="140"/>
      <c r="T468" s="140"/>
      <c r="U468" s="140"/>
      <c r="V468" s="140"/>
      <c r="W468" s="218"/>
      <c r="X468" s="218"/>
    </row>
    <row r="469" spans="16:24" s="137" customFormat="1" ht="16.3">
      <c r="P469" s="140"/>
      <c r="Q469" s="140"/>
      <c r="R469" s="140"/>
      <c r="S469" s="140"/>
      <c r="T469" s="140"/>
      <c r="U469" s="140"/>
      <c r="V469" s="140"/>
      <c r="W469" s="218"/>
      <c r="X469" s="218"/>
    </row>
    <row r="470" spans="16:24" s="137" customFormat="1" ht="16.3">
      <c r="P470" s="140"/>
      <c r="Q470" s="140"/>
      <c r="R470" s="140"/>
      <c r="S470" s="140"/>
      <c r="T470" s="140"/>
      <c r="U470" s="140"/>
      <c r="V470" s="140"/>
      <c r="W470" s="218"/>
      <c r="X470" s="218"/>
    </row>
    <row r="471" spans="16:24" s="137" customFormat="1" ht="16.3">
      <c r="P471" s="140"/>
      <c r="Q471" s="140"/>
      <c r="R471" s="140"/>
      <c r="S471" s="140"/>
      <c r="T471" s="140"/>
      <c r="U471" s="140"/>
      <c r="V471" s="140"/>
      <c r="W471" s="218"/>
      <c r="X471" s="218"/>
    </row>
    <row r="472" spans="16:24" s="137" customFormat="1" ht="16.3">
      <c r="P472" s="140"/>
      <c r="Q472" s="140"/>
      <c r="R472" s="140"/>
      <c r="S472" s="140"/>
      <c r="T472" s="140"/>
      <c r="U472" s="140"/>
      <c r="V472" s="140"/>
      <c r="W472" s="218"/>
      <c r="X472" s="218"/>
    </row>
    <row r="473" spans="16:24" s="137" customFormat="1" ht="16.3">
      <c r="P473" s="140"/>
      <c r="Q473" s="140"/>
      <c r="R473" s="140"/>
      <c r="S473" s="140"/>
      <c r="T473" s="140"/>
      <c r="U473" s="140"/>
      <c r="V473" s="140"/>
      <c r="W473" s="218"/>
      <c r="X473" s="218"/>
    </row>
    <row r="474" spans="16:24" s="137" customFormat="1" ht="16.3">
      <c r="P474" s="140"/>
      <c r="Q474" s="140"/>
      <c r="R474" s="140"/>
      <c r="S474" s="140"/>
      <c r="T474" s="140"/>
      <c r="U474" s="140"/>
      <c r="V474" s="140"/>
      <c r="W474" s="218"/>
      <c r="X474" s="140"/>
    </row>
    <row r="475" spans="16:24" s="137" customFormat="1" ht="16.3">
      <c r="P475" s="140"/>
      <c r="Q475" s="140"/>
      <c r="R475" s="140"/>
      <c r="S475" s="140"/>
      <c r="T475" s="140"/>
      <c r="U475" s="140"/>
      <c r="V475" s="140"/>
      <c r="W475" s="218"/>
      <c r="X475" s="140"/>
    </row>
    <row r="476" spans="16:24" s="137" customFormat="1" ht="16.3">
      <c r="P476" s="140"/>
      <c r="Q476" s="140"/>
      <c r="R476" s="140"/>
      <c r="S476" s="140"/>
      <c r="T476" s="140"/>
      <c r="U476" s="140"/>
      <c r="V476" s="140"/>
      <c r="W476" s="218"/>
      <c r="X476" s="140"/>
    </row>
    <row r="477" spans="16:24" s="137" customFormat="1" ht="16.3">
      <c r="P477" s="140"/>
      <c r="Q477" s="140"/>
      <c r="R477" s="140"/>
      <c r="S477" s="140"/>
      <c r="T477" s="140"/>
      <c r="U477" s="140"/>
      <c r="V477" s="140"/>
      <c r="W477" s="218"/>
      <c r="X477" s="140"/>
    </row>
    <row r="478" spans="16:24" s="137" customFormat="1" ht="16.3">
      <c r="P478" s="140"/>
      <c r="Q478" s="140"/>
      <c r="R478" s="140"/>
      <c r="S478" s="140"/>
      <c r="T478" s="140"/>
      <c r="U478" s="140"/>
      <c r="V478" s="140"/>
      <c r="W478" s="218"/>
      <c r="X478" s="140"/>
    </row>
    <row r="479" spans="16:24" s="137" customFormat="1" ht="16.3">
      <c r="P479" s="140"/>
      <c r="Q479" s="140"/>
      <c r="R479" s="140"/>
      <c r="S479" s="140"/>
      <c r="T479" s="140"/>
      <c r="U479" s="140"/>
      <c r="V479" s="140"/>
      <c r="W479" s="218"/>
      <c r="X479" s="140"/>
    </row>
    <row r="480" spans="16:24" s="137" customFormat="1" ht="16.3">
      <c r="P480" s="140"/>
      <c r="Q480" s="140"/>
      <c r="R480" s="140"/>
      <c r="S480" s="140"/>
      <c r="T480" s="140"/>
      <c r="U480" s="140"/>
      <c r="V480" s="140"/>
      <c r="W480" s="218"/>
      <c r="X480" s="140"/>
    </row>
    <row r="481" spans="16:24" s="137" customFormat="1" ht="16.3">
      <c r="P481" s="140"/>
      <c r="Q481" s="140"/>
      <c r="R481" s="140"/>
      <c r="S481" s="140"/>
      <c r="T481" s="140"/>
      <c r="U481" s="140"/>
      <c r="V481" s="140"/>
      <c r="W481" s="218"/>
      <c r="X481" s="140"/>
    </row>
    <row r="482" spans="16:24" s="137" customFormat="1" ht="16.3">
      <c r="P482" s="140"/>
      <c r="Q482" s="140"/>
      <c r="R482" s="140"/>
      <c r="S482" s="140"/>
      <c r="T482" s="140"/>
      <c r="U482" s="140"/>
      <c r="V482" s="140"/>
      <c r="W482" s="218"/>
      <c r="X482" s="140"/>
    </row>
    <row r="483" spans="16:24" s="137" customFormat="1" ht="16.3">
      <c r="P483" s="140"/>
      <c r="Q483" s="140"/>
      <c r="R483" s="140"/>
      <c r="S483" s="140"/>
      <c r="T483" s="140"/>
      <c r="U483" s="140"/>
      <c r="V483" s="140"/>
      <c r="W483" s="218"/>
      <c r="X483" s="140"/>
    </row>
    <row r="484" spans="16:24" s="137" customFormat="1" ht="16.3">
      <c r="P484" s="140"/>
      <c r="Q484" s="140"/>
      <c r="R484" s="140"/>
      <c r="S484" s="140"/>
      <c r="T484" s="140"/>
      <c r="U484" s="140"/>
      <c r="V484" s="140"/>
      <c r="W484" s="218"/>
      <c r="X484" s="140"/>
    </row>
    <row r="485" spans="16:24" s="137" customFormat="1" ht="16.3">
      <c r="P485" s="140"/>
      <c r="Q485" s="140"/>
      <c r="R485" s="140"/>
      <c r="S485" s="140"/>
      <c r="T485" s="140"/>
      <c r="U485" s="140"/>
      <c r="V485" s="140"/>
      <c r="W485" s="218"/>
      <c r="X485" s="140"/>
    </row>
    <row r="486" spans="16:24" s="137" customFormat="1" ht="16.3">
      <c r="P486" s="140"/>
      <c r="Q486" s="140"/>
      <c r="R486" s="140"/>
      <c r="S486" s="140"/>
      <c r="T486" s="140"/>
      <c r="U486" s="140"/>
      <c r="V486" s="140"/>
      <c r="W486" s="218"/>
      <c r="X486" s="140"/>
    </row>
    <row r="487" spans="16:24" s="137" customFormat="1" ht="16.3">
      <c r="P487" s="140"/>
      <c r="Q487" s="140"/>
      <c r="R487" s="140"/>
      <c r="S487" s="140"/>
      <c r="T487" s="140"/>
      <c r="U487" s="140"/>
      <c r="V487" s="140"/>
      <c r="W487" s="218"/>
      <c r="X487" s="140"/>
    </row>
    <row r="488" spans="16:24" s="137" customFormat="1" ht="16.3">
      <c r="P488" s="140"/>
      <c r="Q488" s="140"/>
      <c r="R488" s="140"/>
      <c r="S488" s="140"/>
      <c r="T488" s="140"/>
      <c r="U488" s="140"/>
      <c r="V488" s="140"/>
      <c r="W488" s="218"/>
      <c r="X488" s="140"/>
    </row>
    <row r="489" spans="16:24" s="137" customFormat="1" ht="16.3">
      <c r="P489" s="140"/>
      <c r="Q489" s="140"/>
      <c r="R489" s="140"/>
      <c r="S489" s="140"/>
      <c r="T489" s="140"/>
      <c r="U489" s="140"/>
      <c r="V489" s="140"/>
      <c r="W489" s="218"/>
      <c r="X489" s="140"/>
    </row>
    <row r="490" spans="16:24" s="137" customFormat="1" ht="16.3">
      <c r="P490" s="140"/>
      <c r="Q490" s="140"/>
      <c r="R490" s="140"/>
      <c r="S490" s="140"/>
      <c r="T490" s="140"/>
      <c r="U490" s="140"/>
      <c r="V490" s="140"/>
      <c r="W490" s="218"/>
      <c r="X490" s="140"/>
    </row>
    <row r="491" spans="16:24" s="137" customFormat="1" ht="16.3">
      <c r="P491" s="140"/>
      <c r="Q491" s="140"/>
      <c r="R491" s="140"/>
      <c r="S491" s="140"/>
      <c r="T491" s="140"/>
      <c r="U491" s="140"/>
      <c r="V491" s="140"/>
      <c r="W491" s="218"/>
      <c r="X491" s="140"/>
    </row>
    <row r="492" spans="16:24" s="137" customFormat="1" ht="16.3">
      <c r="P492" s="140"/>
      <c r="Q492" s="140"/>
      <c r="R492" s="140"/>
      <c r="S492" s="140"/>
      <c r="T492" s="140"/>
      <c r="U492" s="140"/>
      <c r="V492" s="140"/>
      <c r="W492" s="218"/>
      <c r="X492" s="140"/>
    </row>
    <row r="493" spans="16:24" s="137" customFormat="1" ht="16.3">
      <c r="P493" s="140"/>
      <c r="Q493" s="140"/>
      <c r="R493" s="140"/>
      <c r="S493" s="140"/>
      <c r="T493" s="140"/>
      <c r="U493" s="140"/>
      <c r="V493" s="140"/>
      <c r="W493" s="218"/>
      <c r="X493" s="140"/>
    </row>
    <row r="494" spans="16:24" s="137" customFormat="1" ht="16.3">
      <c r="P494" s="140"/>
      <c r="Q494" s="140"/>
      <c r="R494" s="140"/>
      <c r="S494" s="140"/>
      <c r="T494" s="140"/>
      <c r="U494" s="140"/>
      <c r="V494" s="140"/>
      <c r="W494" s="218"/>
      <c r="X494" s="140"/>
    </row>
    <row r="495" spans="16:24" s="137" customFormat="1" ht="16.3">
      <c r="P495" s="140"/>
      <c r="Q495" s="140"/>
      <c r="R495" s="140"/>
      <c r="S495" s="140"/>
      <c r="T495" s="140"/>
      <c r="U495" s="140"/>
      <c r="V495" s="140"/>
      <c r="W495" s="218"/>
      <c r="X495" s="140"/>
    </row>
    <row r="496" spans="16:24" s="137" customFormat="1" ht="16.3">
      <c r="P496" s="140"/>
      <c r="Q496" s="140"/>
      <c r="R496" s="140"/>
      <c r="S496" s="140"/>
      <c r="T496" s="140"/>
      <c r="U496" s="140"/>
      <c r="V496" s="140"/>
      <c r="W496" s="140"/>
      <c r="X496" s="140"/>
    </row>
    <row r="497" spans="16:24" s="137" customFormat="1" ht="16.3">
      <c r="P497" s="140"/>
      <c r="Q497" s="140"/>
      <c r="R497" s="140"/>
      <c r="S497" s="140"/>
      <c r="T497" s="140"/>
      <c r="U497" s="140"/>
      <c r="V497" s="140"/>
      <c r="W497" s="140"/>
      <c r="X497" s="140"/>
    </row>
    <row r="498" spans="16:24" s="137" customFormat="1" ht="16.3">
      <c r="P498" s="140"/>
      <c r="Q498" s="140"/>
      <c r="R498" s="140"/>
      <c r="S498" s="140"/>
      <c r="T498" s="140"/>
      <c r="U498" s="140"/>
      <c r="V498" s="140"/>
      <c r="W498" s="140"/>
      <c r="X498" s="140"/>
    </row>
    <row r="499" spans="16:24" s="137" customFormat="1" ht="16.3">
      <c r="P499" s="140"/>
      <c r="Q499" s="140"/>
      <c r="R499" s="140"/>
      <c r="S499" s="140"/>
      <c r="T499" s="140"/>
      <c r="U499" s="140"/>
      <c r="V499" s="140"/>
      <c r="W499" s="140"/>
      <c r="X499" s="140"/>
    </row>
    <row r="500" spans="16:24" s="137" customFormat="1" ht="16.3">
      <c r="P500" s="140"/>
      <c r="Q500" s="140"/>
      <c r="R500" s="140"/>
      <c r="S500" s="140"/>
      <c r="T500" s="140"/>
      <c r="U500" s="140"/>
      <c r="V500" s="140"/>
      <c r="W500" s="140"/>
      <c r="X500" s="140"/>
    </row>
    <row r="501" spans="16:24" s="137" customFormat="1" ht="16.3">
      <c r="P501" s="140"/>
      <c r="Q501" s="140"/>
      <c r="R501" s="140"/>
      <c r="S501" s="140"/>
      <c r="T501" s="140"/>
      <c r="U501" s="140"/>
      <c r="V501" s="140"/>
      <c r="W501" s="140"/>
      <c r="X501" s="140"/>
    </row>
    <row r="502" spans="16:24" s="137" customFormat="1" ht="16.3">
      <c r="P502" s="140"/>
      <c r="Q502" s="140"/>
      <c r="R502" s="140"/>
      <c r="S502" s="140"/>
      <c r="T502" s="140"/>
      <c r="U502" s="140"/>
      <c r="V502" s="140"/>
      <c r="W502" s="140"/>
      <c r="X502" s="140"/>
    </row>
    <row r="503" spans="16:24" s="137" customFormat="1" ht="16.3">
      <c r="P503" s="140"/>
      <c r="Q503" s="140"/>
      <c r="R503" s="140"/>
      <c r="S503" s="140"/>
      <c r="T503" s="140"/>
      <c r="U503" s="140"/>
      <c r="V503" s="140"/>
      <c r="W503" s="140"/>
      <c r="X503" s="140"/>
    </row>
    <row r="504" spans="16:24" s="137" customFormat="1" ht="16.3">
      <c r="P504" s="140"/>
      <c r="Q504" s="140"/>
      <c r="R504" s="140"/>
      <c r="S504" s="140"/>
      <c r="T504" s="140"/>
      <c r="U504" s="140"/>
      <c r="V504" s="140"/>
      <c r="W504" s="140"/>
      <c r="X504" s="140"/>
    </row>
    <row r="505" spans="16:24" s="137" customFormat="1" ht="16.3">
      <c r="P505" s="140"/>
      <c r="Q505" s="140"/>
      <c r="R505" s="140"/>
      <c r="S505" s="140"/>
      <c r="T505" s="140"/>
      <c r="U505" s="140"/>
      <c r="V505" s="140"/>
      <c r="W505" s="140"/>
      <c r="X505" s="140"/>
    </row>
    <row r="506" spans="16:24" s="137" customFormat="1" ht="16.3">
      <c r="P506" s="140"/>
      <c r="Q506" s="140"/>
      <c r="R506" s="140"/>
      <c r="S506" s="140"/>
      <c r="T506" s="140"/>
      <c r="U506" s="140"/>
      <c r="V506" s="140"/>
      <c r="W506" s="140"/>
      <c r="X506" s="140"/>
    </row>
    <row r="507" spans="16:24" s="137" customFormat="1" ht="16.3">
      <c r="P507" s="140"/>
      <c r="Q507" s="140"/>
      <c r="R507" s="140"/>
      <c r="S507" s="140"/>
      <c r="T507" s="140"/>
      <c r="U507" s="140"/>
      <c r="V507" s="140"/>
      <c r="W507" s="140"/>
      <c r="X507" s="140"/>
    </row>
    <row r="508" spans="16:24" s="137" customFormat="1" ht="16.3">
      <c r="P508" s="140"/>
      <c r="Q508" s="140"/>
      <c r="R508" s="140"/>
      <c r="S508" s="140"/>
      <c r="T508" s="140"/>
      <c r="U508" s="140"/>
      <c r="V508" s="140"/>
      <c r="W508" s="140"/>
      <c r="X508" s="140"/>
    </row>
    <row r="509" spans="16:24" s="137" customFormat="1" ht="16.3">
      <c r="P509" s="140"/>
      <c r="Q509" s="140"/>
      <c r="R509" s="140"/>
      <c r="S509" s="140"/>
      <c r="T509" s="140"/>
      <c r="U509" s="140"/>
      <c r="V509" s="140"/>
      <c r="W509" s="140"/>
      <c r="X509" s="140"/>
    </row>
    <row r="510" spans="16:24" s="137" customFormat="1" ht="16.3">
      <c r="P510" s="140"/>
      <c r="Q510" s="140"/>
      <c r="R510" s="140"/>
      <c r="S510" s="140"/>
      <c r="T510" s="140"/>
      <c r="U510" s="140"/>
      <c r="V510" s="140"/>
      <c r="W510" s="140"/>
      <c r="X510" s="140"/>
    </row>
    <row r="511" spans="16:24" s="137" customFormat="1" ht="16.3">
      <c r="P511" s="140"/>
      <c r="Q511" s="140"/>
      <c r="R511" s="140"/>
      <c r="S511" s="140"/>
      <c r="T511" s="140"/>
      <c r="U511" s="140"/>
      <c r="V511" s="140"/>
      <c r="W511" s="140"/>
      <c r="X511" s="140"/>
    </row>
    <row r="512" spans="16:24" s="137" customFormat="1" ht="16.3">
      <c r="P512" s="140"/>
      <c r="Q512" s="140"/>
      <c r="R512" s="140"/>
      <c r="S512" s="140"/>
      <c r="T512" s="140"/>
      <c r="U512" s="140"/>
      <c r="V512" s="140"/>
      <c r="W512" s="140"/>
      <c r="X512" s="140"/>
    </row>
    <row r="513" spans="16:24" s="137" customFormat="1" ht="16.3">
      <c r="P513" s="140"/>
      <c r="Q513" s="140"/>
      <c r="R513" s="140"/>
      <c r="S513" s="140"/>
      <c r="T513" s="140"/>
      <c r="U513" s="140"/>
      <c r="V513" s="140"/>
      <c r="W513" s="140"/>
      <c r="X513" s="140"/>
    </row>
    <row r="514" spans="16:24" s="137" customFormat="1" ht="16.3">
      <c r="P514" s="140"/>
      <c r="Q514" s="140"/>
      <c r="R514" s="140"/>
      <c r="S514" s="140"/>
      <c r="T514" s="140"/>
      <c r="U514" s="140"/>
      <c r="V514" s="140"/>
      <c r="W514" s="140"/>
      <c r="X514" s="140"/>
    </row>
    <row r="515" spans="16:24" s="137" customFormat="1" ht="16.3">
      <c r="P515" s="140"/>
      <c r="Q515" s="140"/>
      <c r="R515" s="140"/>
      <c r="S515" s="140"/>
      <c r="T515" s="140"/>
      <c r="U515" s="140"/>
      <c r="V515" s="140"/>
      <c r="W515" s="140"/>
      <c r="X515" s="140"/>
    </row>
    <row r="516" spans="16:24" s="137" customFormat="1" ht="16.3">
      <c r="P516" s="140"/>
      <c r="Q516" s="140"/>
      <c r="R516" s="140"/>
      <c r="S516" s="140"/>
      <c r="T516" s="140"/>
      <c r="U516" s="140"/>
      <c r="V516" s="140"/>
      <c r="W516" s="140"/>
      <c r="X516" s="140"/>
    </row>
    <row r="517" spans="16:24" s="137" customFormat="1" ht="16.3">
      <c r="P517" s="140"/>
      <c r="Q517" s="140"/>
      <c r="R517" s="140"/>
      <c r="S517" s="140"/>
      <c r="T517" s="140"/>
      <c r="U517" s="140"/>
      <c r="V517" s="140"/>
      <c r="W517" s="140"/>
      <c r="X517" s="140"/>
    </row>
    <row r="518" spans="16:24" s="137" customFormat="1" ht="16.3">
      <c r="P518" s="140"/>
      <c r="Q518" s="140"/>
      <c r="R518" s="140"/>
      <c r="S518" s="140"/>
      <c r="T518" s="140"/>
      <c r="U518" s="140"/>
      <c r="V518" s="140"/>
      <c r="W518" s="140"/>
      <c r="X518" s="140"/>
    </row>
    <row r="519" spans="16:24" s="137" customFormat="1" ht="16.3">
      <c r="P519" s="140"/>
      <c r="Q519" s="140"/>
      <c r="R519" s="140"/>
      <c r="S519" s="140"/>
      <c r="T519" s="140"/>
      <c r="U519" s="140"/>
      <c r="V519" s="140"/>
      <c r="W519" s="140"/>
      <c r="X519" s="140"/>
    </row>
    <row r="520" spans="16:24" s="137" customFormat="1" ht="16.3">
      <c r="P520" s="140"/>
      <c r="Q520" s="140"/>
      <c r="R520" s="140"/>
      <c r="S520" s="140"/>
      <c r="T520" s="140"/>
      <c r="U520" s="140"/>
      <c r="V520" s="140"/>
      <c r="W520" s="140"/>
      <c r="X520" s="140"/>
    </row>
    <row r="521" spans="16:24" s="137" customFormat="1" ht="16.3">
      <c r="P521" s="140"/>
      <c r="Q521" s="140"/>
      <c r="R521" s="140"/>
      <c r="S521" s="140"/>
      <c r="T521" s="140"/>
      <c r="U521" s="140"/>
      <c r="V521" s="140"/>
      <c r="W521" s="140"/>
      <c r="X521" s="140"/>
    </row>
    <row r="522" spans="16:24" s="137" customFormat="1" ht="16.3">
      <c r="P522" s="140"/>
      <c r="Q522" s="140"/>
      <c r="R522" s="140"/>
      <c r="S522" s="140"/>
      <c r="T522" s="140"/>
      <c r="U522" s="140"/>
      <c r="V522" s="140"/>
      <c r="W522" s="140"/>
      <c r="X522" s="140"/>
    </row>
    <row r="523" spans="16:24" s="136" customFormat="1" ht="16.3">
      <c r="P523" s="140"/>
      <c r="Q523" s="140"/>
      <c r="R523" s="140"/>
      <c r="S523" s="140"/>
      <c r="T523" s="140"/>
      <c r="U523" s="140"/>
      <c r="V523" s="140"/>
      <c r="W523" s="140"/>
      <c r="X523" s="140"/>
    </row>
    <row r="524" spans="16:24" s="136" customFormat="1" ht="16.3">
      <c r="P524" s="140"/>
      <c r="Q524" s="140"/>
      <c r="R524" s="140"/>
      <c r="S524" s="140"/>
      <c r="T524" s="140"/>
      <c r="U524" s="140"/>
      <c r="V524" s="140"/>
      <c r="W524" s="140"/>
      <c r="X524" s="140"/>
    </row>
    <row r="525" spans="16:24" s="136" customFormat="1" ht="16.3">
      <c r="P525" s="140"/>
      <c r="Q525" s="140"/>
      <c r="R525" s="140"/>
      <c r="S525" s="140"/>
      <c r="T525" s="140"/>
      <c r="U525" s="140"/>
      <c r="V525" s="140"/>
      <c r="W525" s="140"/>
      <c r="X525" s="140"/>
    </row>
    <row r="526" spans="16:24" s="136" customFormat="1" ht="16.3">
      <c r="P526" s="140"/>
      <c r="Q526" s="140"/>
      <c r="R526" s="140"/>
      <c r="S526" s="140"/>
      <c r="T526" s="140"/>
      <c r="U526" s="140"/>
      <c r="V526" s="140"/>
      <c r="W526" s="140"/>
      <c r="X526" s="140"/>
    </row>
    <row r="527" spans="16:24" s="136" customFormat="1" ht="16.3">
      <c r="P527" s="140"/>
      <c r="Q527" s="140"/>
      <c r="R527" s="140"/>
      <c r="S527" s="140"/>
      <c r="T527" s="140"/>
      <c r="U527" s="140"/>
      <c r="V527" s="140"/>
      <c r="W527" s="140"/>
      <c r="X527" s="140"/>
    </row>
    <row r="528" spans="16:24" s="136" customFormat="1" ht="16.3">
      <c r="P528" s="140"/>
      <c r="Q528" s="140"/>
      <c r="R528" s="140"/>
      <c r="S528" s="140"/>
      <c r="T528" s="140"/>
      <c r="U528" s="140"/>
      <c r="V528" s="140"/>
      <c r="W528" s="140"/>
      <c r="X528" s="140"/>
    </row>
    <row r="529" spans="16:24" s="136" customFormat="1" ht="16.3">
      <c r="P529" s="140"/>
      <c r="Q529" s="140"/>
      <c r="R529" s="140"/>
      <c r="S529" s="140"/>
      <c r="T529" s="140"/>
      <c r="U529" s="140"/>
      <c r="V529" s="140"/>
      <c r="W529" s="140"/>
      <c r="X529" s="140"/>
    </row>
    <row r="530" spans="16:24" s="136" customFormat="1" ht="16.3">
      <c r="P530" s="140"/>
      <c r="Q530" s="140"/>
      <c r="R530" s="140"/>
      <c r="S530" s="140"/>
      <c r="T530" s="140"/>
      <c r="U530" s="140"/>
      <c r="V530" s="140"/>
      <c r="W530" s="140"/>
      <c r="X530" s="140"/>
    </row>
    <row r="531" spans="16:24" s="136" customFormat="1" ht="16.3">
      <c r="P531" s="140"/>
      <c r="Q531" s="140"/>
      <c r="R531" s="140"/>
      <c r="S531" s="140"/>
      <c r="T531" s="140"/>
      <c r="U531" s="140"/>
      <c r="V531" s="140"/>
      <c r="W531" s="140"/>
      <c r="X531" s="140"/>
    </row>
    <row r="532" spans="16:24" s="136" customFormat="1" ht="16.3">
      <c r="P532" s="140"/>
      <c r="Q532" s="140"/>
      <c r="R532" s="140"/>
      <c r="S532" s="140"/>
      <c r="T532" s="140"/>
      <c r="U532" s="140"/>
      <c r="V532" s="140"/>
      <c r="W532" s="140"/>
      <c r="X532" s="140"/>
    </row>
    <row r="533" spans="16:24" s="136" customFormat="1" ht="16.3">
      <c r="P533" s="140"/>
      <c r="Q533" s="140"/>
      <c r="R533" s="140"/>
      <c r="S533" s="140"/>
      <c r="T533" s="140"/>
      <c r="U533" s="140"/>
      <c r="V533" s="140"/>
      <c r="W533" s="140"/>
      <c r="X533" s="140"/>
    </row>
    <row r="534" spans="16:24" s="136" customFormat="1" ht="16.3">
      <c r="P534" s="140"/>
      <c r="Q534" s="140"/>
      <c r="R534" s="140"/>
      <c r="S534" s="140"/>
      <c r="T534" s="140"/>
      <c r="U534" s="140"/>
      <c r="V534" s="140"/>
      <c r="W534" s="140"/>
      <c r="X534" s="140"/>
    </row>
    <row r="535" spans="16:24" s="136" customFormat="1" ht="16.3">
      <c r="P535" s="140"/>
      <c r="Q535" s="140"/>
      <c r="R535" s="140"/>
      <c r="S535" s="140"/>
      <c r="T535" s="140"/>
      <c r="U535" s="140"/>
      <c r="V535" s="140"/>
      <c r="W535" s="140"/>
      <c r="X535" s="140"/>
    </row>
    <row r="536" spans="16:24" s="136" customFormat="1" ht="16.3">
      <c r="P536" s="140"/>
      <c r="Q536" s="140"/>
      <c r="R536" s="140"/>
      <c r="S536" s="140"/>
      <c r="T536" s="140"/>
      <c r="U536" s="140"/>
      <c r="V536" s="140"/>
      <c r="W536" s="140"/>
      <c r="X536" s="140"/>
    </row>
    <row r="537" spans="16:24" s="136" customFormat="1" ht="16.3">
      <c r="P537" s="140"/>
      <c r="Q537" s="140"/>
      <c r="R537" s="140"/>
      <c r="S537" s="140"/>
      <c r="T537" s="140"/>
      <c r="U537" s="140"/>
      <c r="V537" s="140"/>
      <c r="W537" s="140"/>
      <c r="X537" s="140"/>
    </row>
    <row r="538" spans="16:24" s="136" customFormat="1" ht="16.3">
      <c r="P538" s="140"/>
      <c r="Q538" s="140"/>
      <c r="R538" s="140"/>
      <c r="S538" s="140"/>
      <c r="T538" s="140"/>
      <c r="U538" s="140"/>
      <c r="V538" s="140"/>
      <c r="W538" s="140"/>
      <c r="X538" s="140"/>
    </row>
    <row r="539" spans="16:24" s="136" customFormat="1" ht="16.3">
      <c r="P539" s="137"/>
      <c r="Q539" s="137"/>
      <c r="R539" s="137"/>
      <c r="S539" s="137"/>
      <c r="T539" s="137"/>
      <c r="U539" s="137"/>
      <c r="V539" s="137"/>
      <c r="W539" s="137"/>
      <c r="X539" s="137"/>
    </row>
    <row r="540" spans="16:24" s="136" customFormat="1" ht="16.3">
      <c r="P540" s="137"/>
      <c r="Q540" s="137"/>
      <c r="R540" s="137"/>
      <c r="S540" s="137"/>
      <c r="T540" s="137"/>
      <c r="U540" s="137"/>
      <c r="V540" s="137"/>
      <c r="W540" s="137"/>
      <c r="X540" s="137"/>
    </row>
    <row r="541" spans="16:24" s="136" customFormat="1" ht="16.3">
      <c r="P541" s="137"/>
      <c r="Q541" s="137"/>
      <c r="R541" s="137"/>
      <c r="S541" s="137"/>
      <c r="T541" s="137"/>
      <c r="U541" s="137"/>
      <c r="V541" s="137"/>
      <c r="W541" s="137"/>
      <c r="X541" s="137"/>
    </row>
    <row r="542" spans="16:24" s="136" customFormat="1" ht="16.3">
      <c r="P542" s="137"/>
      <c r="Q542" s="137"/>
      <c r="R542" s="137"/>
      <c r="S542" s="137"/>
      <c r="T542" s="137"/>
      <c r="U542" s="137"/>
      <c r="V542" s="137"/>
      <c r="W542" s="137"/>
      <c r="X542" s="137"/>
    </row>
    <row r="543" spans="16:24" s="136" customFormat="1" ht="16.3">
      <c r="P543" s="137"/>
      <c r="Q543" s="137"/>
      <c r="R543" s="137"/>
      <c r="S543" s="137"/>
      <c r="T543" s="137"/>
      <c r="U543" s="137"/>
      <c r="V543" s="137"/>
      <c r="W543" s="137"/>
      <c r="X543" s="137"/>
    </row>
    <row r="544" spans="16:24" s="136" customFormat="1" ht="16.3">
      <c r="P544" s="137"/>
      <c r="Q544" s="137"/>
      <c r="R544" s="137"/>
      <c r="S544" s="137"/>
      <c r="T544" s="137"/>
      <c r="U544" s="137"/>
      <c r="V544" s="137"/>
      <c r="W544" s="137"/>
      <c r="X544" s="137"/>
    </row>
    <row r="545" spans="16:24" s="136" customFormat="1" ht="16.3">
      <c r="P545" s="137"/>
      <c r="Q545" s="137"/>
      <c r="R545" s="137"/>
      <c r="S545" s="137"/>
      <c r="T545" s="137"/>
      <c r="U545" s="137"/>
      <c r="V545" s="137"/>
      <c r="W545" s="137"/>
      <c r="X545" s="137"/>
    </row>
    <row r="546" spans="16:24" s="136" customFormat="1" ht="16.3">
      <c r="P546" s="137"/>
      <c r="Q546" s="137"/>
      <c r="R546" s="137"/>
      <c r="S546" s="137"/>
      <c r="T546" s="137"/>
      <c r="U546" s="137"/>
      <c r="V546" s="137"/>
      <c r="W546" s="137"/>
      <c r="X546" s="137"/>
    </row>
    <row r="547" spans="16:24" s="136" customFormat="1" ht="16.3">
      <c r="P547" s="137"/>
      <c r="Q547" s="137"/>
      <c r="R547" s="137"/>
      <c r="S547" s="137"/>
      <c r="T547" s="137"/>
      <c r="U547" s="137"/>
      <c r="V547" s="137"/>
      <c r="W547" s="137"/>
      <c r="X547" s="137"/>
    </row>
    <row r="548" spans="16:24" s="136" customFormat="1" ht="16.3">
      <c r="P548" s="137"/>
      <c r="Q548" s="137"/>
      <c r="R548" s="137"/>
      <c r="S548" s="137"/>
      <c r="T548" s="137"/>
      <c r="U548" s="137"/>
      <c r="V548" s="137"/>
      <c r="W548" s="137"/>
      <c r="X548" s="137"/>
    </row>
    <row r="549" spans="16:24" s="136" customFormat="1" ht="16.3">
      <c r="P549" s="137"/>
      <c r="Q549" s="137"/>
      <c r="R549" s="137"/>
      <c r="S549" s="137"/>
      <c r="T549" s="137"/>
      <c r="U549" s="137"/>
      <c r="V549" s="137"/>
      <c r="W549" s="137"/>
      <c r="X549" s="137"/>
    </row>
    <row r="550" spans="16:24" s="136" customFormat="1" ht="16.3">
      <c r="P550" s="137"/>
      <c r="Q550" s="137"/>
      <c r="R550" s="137"/>
      <c r="S550" s="137"/>
      <c r="T550" s="137"/>
      <c r="U550" s="137"/>
      <c r="V550" s="137"/>
      <c r="W550" s="137"/>
      <c r="X550" s="137"/>
    </row>
    <row r="551" spans="16:24" s="136" customFormat="1" ht="16.3">
      <c r="P551" s="137"/>
      <c r="Q551" s="137"/>
      <c r="R551" s="137"/>
      <c r="S551" s="137"/>
      <c r="T551" s="137"/>
      <c r="U551" s="137"/>
      <c r="V551" s="137"/>
      <c r="W551" s="137"/>
      <c r="X551" s="137"/>
    </row>
    <row r="552" spans="16:24" s="136" customFormat="1" ht="16.3">
      <c r="P552" s="137"/>
      <c r="Q552" s="137"/>
      <c r="R552" s="137"/>
      <c r="S552" s="137"/>
      <c r="T552" s="137"/>
      <c r="U552" s="137"/>
      <c r="V552" s="137"/>
      <c r="W552" s="137"/>
      <c r="X552" s="137"/>
    </row>
    <row r="553" spans="16:24" s="136" customFormat="1" ht="16.3">
      <c r="P553" s="137"/>
      <c r="Q553" s="137"/>
      <c r="R553" s="137"/>
      <c r="S553" s="137"/>
      <c r="T553" s="137"/>
      <c r="U553" s="137"/>
      <c r="V553" s="137"/>
      <c r="W553" s="137"/>
      <c r="X553" s="137"/>
    </row>
    <row r="554" spans="16:24" s="136" customFormat="1" ht="16.3">
      <c r="P554" s="137"/>
      <c r="Q554" s="137"/>
      <c r="R554" s="137"/>
      <c r="S554" s="137"/>
      <c r="T554" s="137"/>
      <c r="U554" s="137"/>
      <c r="V554" s="137"/>
      <c r="W554" s="137"/>
      <c r="X554" s="137"/>
    </row>
    <row r="555" spans="16:24" s="136" customFormat="1" ht="16.3">
      <c r="P555" s="137"/>
      <c r="Q555" s="137"/>
      <c r="R555" s="137"/>
      <c r="S555" s="137"/>
      <c r="T555" s="137"/>
      <c r="U555" s="137"/>
      <c r="V555" s="137"/>
      <c r="W555" s="137"/>
      <c r="X555" s="137"/>
    </row>
    <row r="556" spans="16:24" s="136" customFormat="1" ht="16.3">
      <c r="P556" s="137"/>
      <c r="Q556" s="137"/>
      <c r="R556" s="137"/>
      <c r="S556" s="137"/>
      <c r="T556" s="137"/>
      <c r="U556" s="137"/>
      <c r="V556" s="137"/>
      <c r="W556" s="137"/>
      <c r="X556" s="137"/>
    </row>
    <row r="557" spans="16:24" s="136" customFormat="1" ht="16.3">
      <c r="P557" s="137"/>
      <c r="Q557" s="137"/>
      <c r="R557" s="137"/>
      <c r="S557" s="137"/>
      <c r="T557" s="137"/>
      <c r="U557" s="137"/>
      <c r="V557" s="137"/>
      <c r="W557" s="137"/>
      <c r="X557" s="137"/>
    </row>
    <row r="558" spans="16:24" s="136" customFormat="1" ht="16.3">
      <c r="P558" s="137"/>
      <c r="Q558" s="137"/>
      <c r="R558" s="137"/>
      <c r="S558" s="137"/>
      <c r="T558" s="137"/>
      <c r="U558" s="137"/>
      <c r="V558" s="137"/>
      <c r="W558" s="137"/>
      <c r="X558" s="137"/>
    </row>
    <row r="559" spans="16:24" s="136" customFormat="1" ht="16.3">
      <c r="P559" s="137"/>
      <c r="Q559" s="137"/>
      <c r="R559" s="137"/>
      <c r="S559" s="137"/>
      <c r="T559" s="137"/>
      <c r="U559" s="137"/>
      <c r="V559" s="137"/>
      <c r="W559" s="137"/>
      <c r="X559" s="137"/>
    </row>
    <row r="560" spans="16:24" s="136" customFormat="1" ht="16.3">
      <c r="P560" s="137"/>
      <c r="Q560" s="137"/>
      <c r="R560" s="137"/>
      <c r="S560" s="137"/>
      <c r="T560" s="137"/>
      <c r="U560" s="137"/>
      <c r="V560" s="137"/>
      <c r="W560" s="137"/>
      <c r="X560" s="137"/>
    </row>
    <row r="561" spans="16:24" s="136" customFormat="1" ht="16.3">
      <c r="P561" s="137"/>
      <c r="Q561" s="137"/>
      <c r="R561" s="137"/>
      <c r="S561" s="137"/>
      <c r="T561" s="137"/>
      <c r="U561" s="137"/>
      <c r="V561" s="137"/>
      <c r="W561" s="137"/>
      <c r="X561" s="137"/>
    </row>
    <row r="562" spans="16:24" s="136" customFormat="1" ht="16.3">
      <c r="P562" s="137"/>
      <c r="Q562" s="137"/>
      <c r="R562" s="137"/>
      <c r="S562" s="137"/>
      <c r="T562" s="137"/>
      <c r="U562" s="137"/>
      <c r="V562" s="137"/>
      <c r="W562" s="137"/>
      <c r="X562" s="137"/>
    </row>
    <row r="563" spans="16:24" s="136" customFormat="1" ht="16.3">
      <c r="P563" s="137"/>
      <c r="Q563" s="137"/>
      <c r="R563" s="137"/>
      <c r="S563" s="137"/>
      <c r="T563" s="137"/>
      <c r="U563" s="137"/>
      <c r="V563" s="137"/>
      <c r="W563" s="137"/>
      <c r="X563" s="137"/>
    </row>
    <row r="564" spans="16:24" s="136" customFormat="1" ht="16.3">
      <c r="P564" s="137"/>
      <c r="Q564" s="137"/>
      <c r="R564" s="137"/>
      <c r="S564" s="137"/>
      <c r="T564" s="137"/>
      <c r="U564" s="137"/>
      <c r="V564" s="137"/>
      <c r="W564" s="137"/>
      <c r="X564" s="137"/>
    </row>
    <row r="565" spans="16:24" s="136" customFormat="1" ht="16.3">
      <c r="P565" s="137"/>
      <c r="Q565" s="137"/>
      <c r="R565" s="137"/>
      <c r="S565" s="137"/>
      <c r="T565" s="137"/>
      <c r="U565" s="137"/>
      <c r="V565" s="137"/>
      <c r="W565" s="137"/>
      <c r="X565" s="137"/>
    </row>
    <row r="566" spans="16:24" s="136" customFormat="1" ht="16.3">
      <c r="P566" s="137"/>
      <c r="Q566" s="137"/>
      <c r="R566" s="137"/>
      <c r="S566" s="137"/>
      <c r="T566" s="137"/>
      <c r="U566" s="137"/>
      <c r="V566" s="137"/>
      <c r="W566" s="137"/>
      <c r="X566" s="137"/>
    </row>
    <row r="567" spans="16:24" s="136" customFormat="1" ht="16.3">
      <c r="P567" s="137"/>
      <c r="Q567" s="137"/>
      <c r="R567" s="137"/>
      <c r="S567" s="137"/>
      <c r="T567" s="137"/>
      <c r="U567" s="137"/>
      <c r="V567" s="137"/>
      <c r="W567" s="137"/>
      <c r="X567" s="137"/>
    </row>
    <row r="568" spans="16:24" s="136" customFormat="1" ht="16.3">
      <c r="P568" s="137"/>
      <c r="Q568" s="137"/>
      <c r="R568" s="137"/>
      <c r="S568" s="137"/>
      <c r="T568" s="137"/>
      <c r="U568" s="137"/>
      <c r="V568" s="137"/>
      <c r="W568" s="137"/>
      <c r="X568" s="137"/>
    </row>
    <row r="569" spans="16:24" s="136" customFormat="1" ht="16.3">
      <c r="P569" s="137"/>
      <c r="Q569" s="137"/>
      <c r="R569" s="137"/>
      <c r="S569" s="137"/>
      <c r="T569" s="137"/>
      <c r="U569" s="137"/>
      <c r="V569" s="137"/>
      <c r="W569" s="137"/>
      <c r="X569" s="137"/>
    </row>
    <row r="570" spans="16:24" s="136" customFormat="1" ht="16.3">
      <c r="P570" s="137"/>
      <c r="Q570" s="137"/>
      <c r="R570" s="137"/>
      <c r="S570" s="137"/>
      <c r="T570" s="137"/>
      <c r="U570" s="137"/>
      <c r="V570" s="137"/>
      <c r="W570" s="137"/>
      <c r="X570" s="137"/>
    </row>
    <row r="571" spans="16:24" s="136" customFormat="1" ht="16.3">
      <c r="P571" s="137"/>
      <c r="Q571" s="137"/>
      <c r="R571" s="137"/>
      <c r="S571" s="137"/>
      <c r="T571" s="137"/>
      <c r="U571" s="137"/>
      <c r="V571" s="137"/>
      <c r="W571" s="137"/>
      <c r="X571" s="137"/>
    </row>
    <row r="572" spans="16:24" s="136" customFormat="1" ht="16.3">
      <c r="P572" s="137"/>
      <c r="Q572" s="137"/>
      <c r="R572" s="137"/>
      <c r="S572" s="137"/>
      <c r="T572" s="137"/>
      <c r="U572" s="137"/>
      <c r="V572" s="137"/>
      <c r="W572" s="137"/>
      <c r="X572" s="137"/>
    </row>
    <row r="573" spans="16:24" s="136" customFormat="1" ht="16.3">
      <c r="P573" s="137"/>
      <c r="Q573" s="137"/>
      <c r="R573" s="137"/>
      <c r="S573" s="137"/>
      <c r="T573" s="137"/>
      <c r="U573" s="137"/>
      <c r="V573" s="137"/>
      <c r="W573" s="137"/>
      <c r="X573" s="137"/>
    </row>
    <row r="574" spans="16:24" s="136" customFormat="1" ht="16.3">
      <c r="P574" s="137"/>
      <c r="Q574" s="137"/>
      <c r="R574" s="137"/>
      <c r="S574" s="137"/>
      <c r="T574" s="137"/>
      <c r="U574" s="137"/>
      <c r="V574" s="137"/>
      <c r="W574" s="137"/>
      <c r="X574" s="137"/>
    </row>
    <row r="575" spans="16:24" s="136" customFormat="1" ht="16.3">
      <c r="P575" s="137"/>
      <c r="Q575" s="137"/>
      <c r="R575" s="137"/>
      <c r="S575" s="137"/>
      <c r="T575" s="137"/>
      <c r="U575" s="137"/>
      <c r="V575" s="137"/>
      <c r="W575" s="137"/>
      <c r="X575" s="137"/>
    </row>
    <row r="576" spans="16:24" s="136" customFormat="1" ht="16.3">
      <c r="P576" s="137"/>
      <c r="Q576" s="137"/>
      <c r="R576" s="137"/>
      <c r="S576" s="137"/>
      <c r="T576" s="137"/>
      <c r="U576" s="137"/>
      <c r="V576" s="137"/>
      <c r="W576" s="137"/>
      <c r="X576" s="137"/>
    </row>
    <row r="577" spans="16:24" s="136" customFormat="1" ht="16.3">
      <c r="P577" s="137"/>
      <c r="Q577" s="137"/>
      <c r="R577" s="137"/>
      <c r="S577" s="137"/>
      <c r="T577" s="137"/>
      <c r="U577" s="137"/>
      <c r="V577" s="137"/>
      <c r="W577" s="137"/>
      <c r="X577" s="137"/>
    </row>
    <row r="578" spans="16:24" s="136" customFormat="1" ht="16.3">
      <c r="P578" s="137"/>
      <c r="Q578" s="137"/>
      <c r="R578" s="137"/>
      <c r="S578" s="137"/>
      <c r="T578" s="137"/>
      <c r="U578" s="137"/>
      <c r="V578" s="137"/>
      <c r="W578" s="137"/>
      <c r="X578" s="137"/>
    </row>
    <row r="579" spans="16:24" s="136" customFormat="1" ht="16.3">
      <c r="P579" s="137"/>
      <c r="Q579" s="137"/>
      <c r="R579" s="137"/>
      <c r="S579" s="137"/>
      <c r="T579" s="137"/>
      <c r="U579" s="137"/>
      <c r="V579" s="137"/>
      <c r="W579" s="137"/>
      <c r="X579" s="137"/>
    </row>
    <row r="580" spans="16:24" s="136" customFormat="1" ht="16.3">
      <c r="P580" s="137"/>
      <c r="Q580" s="137"/>
      <c r="R580" s="137"/>
      <c r="S580" s="137"/>
      <c r="T580" s="137"/>
      <c r="U580" s="137"/>
      <c r="V580" s="137"/>
      <c r="W580" s="137"/>
      <c r="X580" s="137"/>
    </row>
    <row r="581" spans="16:24" s="136" customFormat="1" ht="16.3">
      <c r="P581" s="137"/>
      <c r="Q581" s="137"/>
      <c r="R581" s="137"/>
      <c r="S581" s="137"/>
      <c r="T581" s="137"/>
      <c r="U581" s="137"/>
      <c r="V581" s="137"/>
      <c r="W581" s="137"/>
      <c r="X581" s="137"/>
    </row>
    <row r="582" spans="16:24" s="136" customFormat="1" ht="16.3">
      <c r="P582" s="137"/>
      <c r="Q582" s="137"/>
      <c r="R582" s="137"/>
      <c r="S582" s="137"/>
      <c r="T582" s="137"/>
      <c r="U582" s="137"/>
      <c r="V582" s="137"/>
      <c r="W582" s="137"/>
      <c r="X582" s="137"/>
    </row>
    <row r="583" spans="16:24" s="136" customFormat="1" ht="16.3">
      <c r="P583" s="137"/>
      <c r="Q583" s="137"/>
      <c r="R583" s="137"/>
      <c r="S583" s="137"/>
      <c r="T583" s="137"/>
      <c r="U583" s="137"/>
      <c r="V583" s="137"/>
      <c r="W583" s="137"/>
      <c r="X583" s="137"/>
    </row>
    <row r="584" spans="16:24" s="136" customFormat="1" ht="16.3">
      <c r="P584" s="137"/>
      <c r="Q584" s="137"/>
      <c r="R584" s="137"/>
      <c r="S584" s="137"/>
      <c r="T584" s="137"/>
      <c r="U584" s="137"/>
      <c r="V584" s="137"/>
      <c r="W584" s="137"/>
      <c r="X584" s="137"/>
    </row>
    <row r="585" spans="16:24" s="136" customFormat="1" ht="16.3">
      <c r="P585" s="137"/>
      <c r="Q585" s="137"/>
      <c r="R585" s="137"/>
      <c r="S585" s="137"/>
      <c r="T585" s="137"/>
      <c r="U585" s="137"/>
      <c r="V585" s="137"/>
      <c r="W585" s="137"/>
      <c r="X585" s="137"/>
    </row>
    <row r="586" spans="16:24" s="136" customFormat="1" ht="16.3">
      <c r="P586" s="137"/>
      <c r="Q586" s="137"/>
      <c r="R586" s="137"/>
      <c r="S586" s="137"/>
      <c r="T586" s="137"/>
      <c r="U586" s="137"/>
      <c r="V586" s="137"/>
      <c r="W586" s="137"/>
      <c r="X586" s="137"/>
    </row>
    <row r="587" spans="16:24" s="136" customFormat="1" ht="16.3">
      <c r="P587" s="137"/>
      <c r="Q587" s="137"/>
      <c r="R587" s="137"/>
      <c r="S587" s="137"/>
      <c r="T587" s="137"/>
      <c r="U587" s="137"/>
      <c r="V587" s="137"/>
      <c r="W587" s="137"/>
      <c r="X587" s="137"/>
    </row>
    <row r="588" spans="16:24" s="136" customFormat="1" ht="16.3">
      <c r="P588" s="137"/>
      <c r="Q588" s="137"/>
      <c r="R588" s="137"/>
      <c r="S588" s="137"/>
      <c r="T588" s="137"/>
      <c r="U588" s="137"/>
      <c r="V588" s="137"/>
      <c r="W588" s="137"/>
      <c r="X588" s="137"/>
    </row>
    <row r="589" spans="16:24" s="136" customFormat="1" ht="16.3">
      <c r="P589" s="137"/>
      <c r="Q589" s="137"/>
      <c r="R589" s="137"/>
      <c r="S589" s="137"/>
      <c r="T589" s="137"/>
      <c r="U589" s="137"/>
      <c r="V589" s="137"/>
      <c r="W589" s="137"/>
      <c r="X589" s="137"/>
    </row>
    <row r="590" spans="16:24" s="136" customFormat="1" ht="16.3">
      <c r="P590" s="137"/>
      <c r="Q590" s="137"/>
      <c r="R590" s="137"/>
      <c r="S590" s="137"/>
      <c r="T590" s="137"/>
      <c r="U590" s="137"/>
      <c r="V590" s="137"/>
      <c r="W590" s="137"/>
      <c r="X590" s="137"/>
    </row>
    <row r="591" spans="16:24" s="136" customFormat="1" ht="16.3">
      <c r="P591" s="137"/>
      <c r="Q591" s="137"/>
      <c r="R591" s="137"/>
      <c r="S591" s="137"/>
      <c r="T591" s="137"/>
      <c r="U591" s="137"/>
      <c r="V591" s="137"/>
      <c r="W591" s="137"/>
      <c r="X591" s="137"/>
    </row>
    <row r="592" spans="16:24" s="136" customFormat="1" ht="16.3">
      <c r="P592" s="137"/>
      <c r="Q592" s="137"/>
      <c r="R592" s="137"/>
      <c r="S592" s="137"/>
      <c r="T592" s="137"/>
      <c r="U592" s="137"/>
      <c r="V592" s="137"/>
      <c r="W592" s="137"/>
      <c r="X592" s="137"/>
    </row>
    <row r="593" spans="16:24" s="136" customFormat="1" ht="16.3">
      <c r="P593" s="137"/>
      <c r="Q593" s="137"/>
      <c r="R593" s="137"/>
      <c r="S593" s="137"/>
      <c r="T593" s="137"/>
      <c r="U593" s="137"/>
      <c r="V593" s="137"/>
      <c r="W593" s="137"/>
      <c r="X593" s="137"/>
    </row>
    <row r="594" spans="16:24" s="136" customFormat="1" ht="16.3">
      <c r="P594" s="137"/>
      <c r="Q594" s="137"/>
      <c r="R594" s="137"/>
      <c r="S594" s="137"/>
      <c r="T594" s="137"/>
      <c r="U594" s="137"/>
      <c r="V594" s="137"/>
      <c r="W594" s="137"/>
      <c r="X594" s="137"/>
    </row>
    <row r="595" spans="16:24" s="136" customFormat="1" ht="16.3">
      <c r="P595" s="137"/>
      <c r="Q595" s="137"/>
      <c r="R595" s="137"/>
      <c r="S595" s="137"/>
      <c r="T595" s="137"/>
      <c r="U595" s="137"/>
      <c r="V595" s="137"/>
      <c r="W595" s="137"/>
      <c r="X595" s="137"/>
    </row>
    <row r="596" spans="16:24" s="136" customFormat="1" ht="16.3">
      <c r="P596" s="137"/>
      <c r="Q596" s="137"/>
      <c r="R596" s="137"/>
      <c r="S596" s="137"/>
      <c r="T596" s="137"/>
      <c r="U596" s="137"/>
      <c r="V596" s="137"/>
      <c r="W596" s="137"/>
      <c r="X596" s="137"/>
    </row>
    <row r="597" spans="16:24" s="136" customFormat="1" ht="16.3">
      <c r="P597" s="137"/>
      <c r="Q597" s="137"/>
      <c r="R597" s="137"/>
      <c r="S597" s="137"/>
      <c r="T597" s="137"/>
      <c r="U597" s="137"/>
      <c r="V597" s="137"/>
      <c r="W597" s="137"/>
      <c r="X597" s="137"/>
    </row>
    <row r="598" spans="16:24" s="136" customFormat="1" ht="16.3">
      <c r="P598" s="137"/>
      <c r="Q598" s="137"/>
      <c r="R598" s="137"/>
      <c r="S598" s="137"/>
      <c r="T598" s="137"/>
      <c r="U598" s="137"/>
      <c r="V598" s="137"/>
      <c r="W598" s="137"/>
      <c r="X598" s="137"/>
    </row>
    <row r="599" spans="16:24" s="136" customFormat="1" ht="16.3">
      <c r="P599" s="137"/>
      <c r="Q599" s="137"/>
      <c r="R599" s="137"/>
      <c r="S599" s="137"/>
      <c r="T599" s="137"/>
      <c r="U599" s="137"/>
      <c r="V599" s="137"/>
      <c r="W599" s="137"/>
      <c r="X599" s="137"/>
    </row>
    <row r="600" spans="16:24" s="136" customFormat="1" ht="16.3">
      <c r="P600" s="137"/>
      <c r="Q600" s="137"/>
      <c r="R600" s="137"/>
      <c r="S600" s="137"/>
      <c r="T600" s="137"/>
      <c r="U600" s="137"/>
      <c r="V600" s="137"/>
      <c r="W600" s="137"/>
      <c r="X600" s="137"/>
    </row>
    <row r="601" spans="16:24" s="136" customFormat="1" ht="16.3">
      <c r="P601" s="137"/>
      <c r="Q601" s="137"/>
      <c r="R601" s="137"/>
      <c r="S601" s="137"/>
      <c r="T601" s="137"/>
      <c r="U601" s="137"/>
      <c r="V601" s="137"/>
      <c r="W601" s="137"/>
      <c r="X601" s="137"/>
    </row>
    <row r="602" spans="16:24" s="136" customFormat="1" ht="16.3">
      <c r="P602" s="137"/>
      <c r="Q602" s="137"/>
      <c r="R602" s="137"/>
      <c r="S602" s="137"/>
      <c r="T602" s="137"/>
      <c r="U602" s="137"/>
      <c r="V602" s="137"/>
      <c r="W602" s="137"/>
      <c r="X602" s="137"/>
    </row>
    <row r="603" spans="16:24" s="136" customFormat="1" ht="16.3">
      <c r="P603" s="137"/>
      <c r="Q603" s="137"/>
      <c r="R603" s="137"/>
      <c r="S603" s="137"/>
      <c r="T603" s="137"/>
      <c r="U603" s="137"/>
      <c r="V603" s="137"/>
      <c r="W603" s="137"/>
      <c r="X603" s="137"/>
    </row>
    <row r="604" spans="16:24" s="136" customFormat="1" ht="16.3">
      <c r="P604" s="137"/>
      <c r="Q604" s="137"/>
      <c r="R604" s="137"/>
      <c r="S604" s="137"/>
      <c r="T604" s="137"/>
      <c r="U604" s="137"/>
      <c r="V604" s="137"/>
      <c r="W604" s="137"/>
      <c r="X604" s="137"/>
    </row>
    <row r="605" spans="16:24" s="136" customFormat="1" ht="16.3">
      <c r="P605" s="137"/>
      <c r="Q605" s="137"/>
      <c r="R605" s="137"/>
      <c r="S605" s="137"/>
      <c r="T605" s="137"/>
      <c r="U605" s="137"/>
      <c r="V605" s="137"/>
      <c r="W605" s="137"/>
      <c r="X605" s="137"/>
    </row>
    <row r="606" spans="16:24" s="136" customFormat="1" ht="16.3">
      <c r="P606" s="137"/>
      <c r="Q606" s="137"/>
      <c r="R606" s="137"/>
      <c r="S606" s="137"/>
      <c r="T606" s="137"/>
      <c r="U606" s="137"/>
      <c r="V606" s="137"/>
      <c r="W606" s="137"/>
      <c r="X606" s="137"/>
    </row>
    <row r="607" spans="16:24" s="136" customFormat="1" ht="16.3">
      <c r="P607" s="137"/>
      <c r="Q607" s="137"/>
      <c r="R607" s="137"/>
      <c r="S607" s="137"/>
      <c r="T607" s="137"/>
      <c r="U607" s="137"/>
      <c r="V607" s="137"/>
      <c r="W607" s="137"/>
      <c r="X607" s="137"/>
    </row>
    <row r="608" spans="16:24" s="136" customFormat="1" ht="16.3">
      <c r="P608" s="137"/>
      <c r="Q608" s="137"/>
      <c r="R608" s="137"/>
      <c r="S608" s="137"/>
      <c r="T608" s="137"/>
      <c r="U608" s="137"/>
      <c r="V608" s="137"/>
      <c r="W608" s="137"/>
      <c r="X608" s="137"/>
    </row>
    <row r="609" spans="16:24" s="136" customFormat="1" ht="16.3">
      <c r="P609" s="137"/>
      <c r="Q609" s="137"/>
      <c r="R609" s="137"/>
      <c r="S609" s="137"/>
      <c r="T609" s="137"/>
      <c r="U609" s="137"/>
      <c r="V609" s="137"/>
      <c r="W609" s="137"/>
      <c r="X609" s="137"/>
    </row>
    <row r="610" spans="16:24" s="136" customFormat="1" ht="16.3">
      <c r="P610" s="137"/>
      <c r="Q610" s="137"/>
      <c r="R610" s="137"/>
      <c r="S610" s="137"/>
      <c r="T610" s="137"/>
      <c r="U610" s="137"/>
      <c r="V610" s="137"/>
      <c r="W610" s="137"/>
      <c r="X610" s="137"/>
    </row>
    <row r="611" spans="16:24" s="136" customFormat="1" ht="16.3">
      <c r="P611" s="137"/>
      <c r="Q611" s="137"/>
      <c r="R611" s="137"/>
      <c r="S611" s="137"/>
      <c r="T611" s="137"/>
      <c r="U611" s="137"/>
      <c r="V611" s="137"/>
      <c r="W611" s="137"/>
      <c r="X611" s="137"/>
    </row>
    <row r="612" spans="16:24" s="136" customFormat="1" ht="16.3">
      <c r="P612" s="137"/>
      <c r="Q612" s="137"/>
      <c r="R612" s="137"/>
      <c r="S612" s="137"/>
      <c r="T612" s="137"/>
      <c r="U612" s="137"/>
      <c r="V612" s="137"/>
      <c r="W612" s="137"/>
      <c r="X612" s="137"/>
    </row>
    <row r="613" spans="16:24" s="136" customFormat="1" ht="16.3">
      <c r="P613" s="137"/>
      <c r="Q613" s="137"/>
      <c r="R613" s="137"/>
      <c r="S613" s="137"/>
      <c r="T613" s="137"/>
      <c r="U613" s="137"/>
      <c r="V613" s="137"/>
      <c r="W613" s="137"/>
      <c r="X613" s="137"/>
    </row>
    <row r="614" spans="16:24" s="136" customFormat="1" ht="16.3">
      <c r="P614" s="137"/>
      <c r="Q614" s="137"/>
      <c r="R614" s="137"/>
      <c r="S614" s="137"/>
      <c r="T614" s="137"/>
      <c r="U614" s="137"/>
      <c r="V614" s="137"/>
      <c r="W614" s="137"/>
      <c r="X614" s="137"/>
    </row>
    <row r="615" spans="16:24" s="136" customFormat="1" ht="16.3">
      <c r="P615" s="137"/>
      <c r="Q615" s="137"/>
      <c r="R615" s="137"/>
      <c r="S615" s="137"/>
      <c r="T615" s="137"/>
      <c r="U615" s="137"/>
      <c r="V615" s="137"/>
      <c r="W615" s="137"/>
      <c r="X615" s="137"/>
    </row>
    <row r="616" spans="16:24" s="136" customFormat="1" ht="16.3">
      <c r="P616" s="137"/>
      <c r="Q616" s="137"/>
      <c r="R616" s="137"/>
      <c r="S616" s="137"/>
      <c r="T616" s="137"/>
      <c r="U616" s="137"/>
      <c r="V616" s="137"/>
      <c r="W616" s="137"/>
      <c r="X616" s="137"/>
    </row>
    <row r="617" spans="16:24" s="136" customFormat="1" ht="16.3">
      <c r="P617" s="137"/>
      <c r="Q617" s="137"/>
      <c r="R617" s="137"/>
      <c r="S617" s="137"/>
      <c r="T617" s="137"/>
      <c r="U617" s="137"/>
      <c r="V617" s="137"/>
      <c r="W617" s="137"/>
      <c r="X617" s="137"/>
    </row>
    <row r="618" spans="16:24" s="136" customFormat="1" ht="16.3">
      <c r="P618" s="137"/>
      <c r="Q618" s="137"/>
      <c r="R618" s="137"/>
      <c r="S618" s="137"/>
      <c r="T618" s="137"/>
      <c r="U618" s="137"/>
      <c r="V618" s="137"/>
      <c r="W618" s="137"/>
      <c r="X618" s="137"/>
    </row>
    <row r="619" spans="16:24" s="136" customFormat="1" ht="16.3">
      <c r="P619" s="137"/>
      <c r="Q619" s="137"/>
      <c r="R619" s="137"/>
      <c r="S619" s="137"/>
      <c r="T619" s="137"/>
      <c r="U619" s="137"/>
      <c r="V619" s="137"/>
      <c r="W619" s="137"/>
      <c r="X619" s="137"/>
    </row>
    <row r="620" spans="16:24" s="136" customFormat="1" ht="16.3">
      <c r="P620" s="137"/>
      <c r="Q620" s="137"/>
      <c r="R620" s="137"/>
      <c r="S620" s="137"/>
      <c r="T620" s="137"/>
      <c r="U620" s="137"/>
      <c r="V620" s="137"/>
      <c r="W620" s="137"/>
      <c r="X620" s="137"/>
    </row>
    <row r="621" spans="16:24" s="136" customFormat="1" ht="16.3">
      <c r="P621" s="137"/>
      <c r="Q621" s="137"/>
      <c r="R621" s="137"/>
      <c r="S621" s="137"/>
      <c r="T621" s="137"/>
      <c r="U621" s="137"/>
      <c r="V621" s="137"/>
      <c r="W621" s="137"/>
      <c r="X621" s="137"/>
    </row>
    <row r="622" spans="16:24" s="136" customFormat="1" ht="16.3">
      <c r="P622" s="137"/>
      <c r="Q622" s="137"/>
      <c r="R622" s="137"/>
      <c r="S622" s="137"/>
      <c r="T622" s="137"/>
      <c r="U622" s="137"/>
      <c r="V622" s="137"/>
      <c r="W622" s="137"/>
      <c r="X622" s="137"/>
    </row>
    <row r="623" spans="16:24" s="136" customFormat="1" ht="16.3">
      <c r="P623" s="137"/>
      <c r="Q623" s="137"/>
      <c r="R623" s="137"/>
      <c r="S623" s="137"/>
      <c r="T623" s="137"/>
      <c r="U623" s="137"/>
      <c r="V623" s="137"/>
      <c r="W623" s="137"/>
      <c r="X623" s="137"/>
    </row>
    <row r="624" spans="16:24" s="136" customFormat="1" ht="16.3">
      <c r="P624" s="137"/>
      <c r="Q624" s="137"/>
      <c r="R624" s="137"/>
      <c r="S624" s="137"/>
      <c r="T624" s="137"/>
      <c r="U624" s="137"/>
      <c r="V624" s="137"/>
      <c r="W624" s="137"/>
      <c r="X624" s="137"/>
    </row>
    <row r="625" spans="16:24" s="136" customFormat="1" ht="16.3">
      <c r="P625" s="137"/>
      <c r="Q625" s="137"/>
      <c r="R625" s="137"/>
      <c r="S625" s="137"/>
      <c r="T625" s="137"/>
      <c r="U625" s="137"/>
      <c r="V625" s="137"/>
      <c r="W625" s="137"/>
      <c r="X625" s="137"/>
    </row>
    <row r="626" spans="16:24" s="136" customFormat="1" ht="16.3">
      <c r="P626" s="137"/>
      <c r="Q626" s="137"/>
      <c r="R626" s="137"/>
      <c r="S626" s="137"/>
      <c r="T626" s="137"/>
      <c r="U626" s="137"/>
      <c r="V626" s="137"/>
      <c r="W626" s="137"/>
      <c r="X626" s="137"/>
    </row>
    <row r="627" spans="16:24" s="136" customFormat="1" ht="16.3">
      <c r="P627" s="137"/>
      <c r="Q627" s="137"/>
      <c r="R627" s="137"/>
      <c r="S627" s="137"/>
      <c r="T627" s="137"/>
      <c r="U627" s="137"/>
      <c r="V627" s="137"/>
      <c r="W627" s="137"/>
      <c r="X627" s="137"/>
    </row>
    <row r="628" spans="16:24" s="136" customFormat="1" ht="16.3">
      <c r="P628" s="137"/>
      <c r="Q628" s="137"/>
      <c r="R628" s="137"/>
      <c r="S628" s="137"/>
      <c r="T628" s="137"/>
      <c r="U628" s="137"/>
      <c r="V628" s="137"/>
      <c r="W628" s="137"/>
      <c r="X628" s="137"/>
    </row>
    <row r="629" spans="16:24" s="136" customFormat="1" ht="16.3">
      <c r="P629" s="137"/>
      <c r="Q629" s="137"/>
      <c r="R629" s="137"/>
      <c r="S629" s="137"/>
      <c r="T629" s="137"/>
      <c r="U629" s="137"/>
      <c r="V629" s="137"/>
      <c r="W629" s="137"/>
      <c r="X629" s="137"/>
    </row>
    <row r="630" spans="16:24" s="136" customFormat="1" ht="16.3">
      <c r="P630" s="137"/>
      <c r="Q630" s="137"/>
      <c r="R630" s="137"/>
      <c r="S630" s="137"/>
      <c r="T630" s="137"/>
      <c r="U630" s="137"/>
      <c r="V630" s="137"/>
      <c r="W630" s="137"/>
      <c r="X630" s="137"/>
    </row>
    <row r="631" spans="16:24" s="136" customFormat="1" ht="16.3">
      <c r="P631" s="137"/>
      <c r="Q631" s="137"/>
      <c r="R631" s="137"/>
      <c r="S631" s="137"/>
      <c r="T631" s="137"/>
      <c r="U631" s="137"/>
      <c r="V631" s="137"/>
      <c r="W631" s="137"/>
      <c r="X631" s="137"/>
    </row>
    <row r="632" spans="16:24" s="136" customFormat="1" ht="16.3">
      <c r="P632" s="137"/>
      <c r="Q632" s="137"/>
      <c r="R632" s="137"/>
      <c r="S632" s="137"/>
      <c r="T632" s="137"/>
      <c r="U632" s="137"/>
      <c r="V632" s="137"/>
      <c r="W632" s="137"/>
      <c r="X632" s="137"/>
    </row>
    <row r="633" spans="16:24" s="136" customFormat="1" ht="16.3">
      <c r="P633" s="137"/>
      <c r="Q633" s="137"/>
      <c r="R633" s="137"/>
      <c r="S633" s="137"/>
      <c r="T633" s="137"/>
      <c r="U633" s="137"/>
      <c r="V633" s="137"/>
      <c r="W633" s="137"/>
      <c r="X633" s="137"/>
    </row>
    <row r="634" spans="16:24" s="136" customFormat="1" ht="16.3">
      <c r="P634" s="137"/>
      <c r="Q634" s="137"/>
      <c r="R634" s="137"/>
      <c r="S634" s="137"/>
      <c r="T634" s="137"/>
      <c r="U634" s="137"/>
      <c r="V634" s="137"/>
      <c r="W634" s="137"/>
      <c r="X634" s="137"/>
    </row>
    <row r="635" spans="16:24" s="136" customFormat="1" ht="16.3">
      <c r="P635" s="137"/>
      <c r="Q635" s="137"/>
      <c r="R635" s="137"/>
      <c r="S635" s="137"/>
      <c r="T635" s="137"/>
      <c r="U635" s="137"/>
      <c r="V635" s="137"/>
      <c r="W635" s="137"/>
      <c r="X635" s="137"/>
    </row>
    <row r="636" spans="16:24" s="136" customFormat="1" ht="16.3">
      <c r="P636" s="137"/>
      <c r="Q636" s="137"/>
      <c r="R636" s="137"/>
      <c r="S636" s="137"/>
      <c r="T636" s="137"/>
      <c r="U636" s="137"/>
      <c r="V636" s="137"/>
      <c r="W636" s="137"/>
      <c r="X636" s="137"/>
    </row>
    <row r="637" spans="16:24" s="136" customFormat="1" ht="16.3">
      <c r="P637" s="137"/>
      <c r="Q637" s="137"/>
      <c r="R637" s="137"/>
      <c r="S637" s="137"/>
      <c r="T637" s="137"/>
      <c r="U637" s="137"/>
      <c r="V637" s="137"/>
      <c r="W637" s="137"/>
      <c r="X637" s="137"/>
    </row>
    <row r="638" spans="16:24" s="136" customFormat="1" ht="16.3">
      <c r="P638" s="137"/>
      <c r="Q638" s="137"/>
      <c r="R638" s="137"/>
      <c r="S638" s="137"/>
      <c r="T638" s="137"/>
      <c r="U638" s="137"/>
      <c r="V638" s="137"/>
      <c r="W638" s="137"/>
      <c r="X638" s="137"/>
    </row>
    <row r="639" spans="16:24" s="136" customFormat="1" ht="16.3">
      <c r="P639" s="137"/>
      <c r="Q639" s="137"/>
      <c r="R639" s="137"/>
      <c r="S639" s="137"/>
      <c r="T639" s="137"/>
      <c r="U639" s="137"/>
      <c r="V639" s="137"/>
      <c r="W639" s="137"/>
      <c r="X639" s="137"/>
    </row>
    <row r="640" spans="16:24" s="136" customFormat="1" ht="16.3">
      <c r="P640" s="137"/>
      <c r="Q640" s="137"/>
      <c r="R640" s="137"/>
      <c r="S640" s="137"/>
      <c r="T640" s="137"/>
      <c r="U640" s="137"/>
      <c r="V640" s="137"/>
      <c r="W640" s="137"/>
      <c r="X640" s="137"/>
    </row>
    <row r="641" spans="16:24" s="136" customFormat="1" ht="16.3">
      <c r="P641" s="137"/>
      <c r="Q641" s="137"/>
      <c r="R641" s="137"/>
      <c r="S641" s="137"/>
      <c r="T641" s="137"/>
      <c r="U641" s="137"/>
      <c r="V641" s="137"/>
      <c r="W641" s="137"/>
      <c r="X641" s="137"/>
    </row>
    <row r="642" spans="16:24" s="136" customFormat="1" ht="16.3">
      <c r="P642" s="137"/>
      <c r="Q642" s="137"/>
      <c r="R642" s="137"/>
      <c r="S642" s="137"/>
      <c r="T642" s="137"/>
      <c r="U642" s="137"/>
      <c r="V642" s="137"/>
      <c r="W642" s="137"/>
      <c r="X642" s="137"/>
    </row>
    <row r="643" spans="16:24" s="136" customFormat="1" ht="16.3">
      <c r="P643" s="137"/>
      <c r="Q643" s="137"/>
      <c r="R643" s="137"/>
      <c r="S643" s="137"/>
      <c r="T643" s="137"/>
      <c r="U643" s="137"/>
      <c r="V643" s="137"/>
      <c r="W643" s="137"/>
      <c r="X643" s="137"/>
    </row>
    <row r="644" spans="16:24" s="136" customFormat="1" ht="16.3">
      <c r="P644" s="137"/>
      <c r="Q644" s="137"/>
      <c r="R644" s="137"/>
      <c r="S644" s="137"/>
      <c r="T644" s="137"/>
      <c r="U644" s="137"/>
      <c r="V644" s="137"/>
      <c r="W644" s="137"/>
      <c r="X644" s="137"/>
    </row>
    <row r="645" spans="16:24" s="136" customFormat="1" ht="16.3">
      <c r="P645" s="137"/>
      <c r="Q645" s="137"/>
      <c r="R645" s="137"/>
      <c r="S645" s="137"/>
      <c r="T645" s="137"/>
      <c r="U645" s="137"/>
      <c r="V645" s="137"/>
      <c r="W645" s="137"/>
      <c r="X645" s="137"/>
    </row>
    <row r="646" spans="16:24" s="136" customFormat="1" ht="16.3">
      <c r="P646" s="137"/>
      <c r="Q646" s="137"/>
      <c r="R646" s="137"/>
      <c r="S646" s="137"/>
      <c r="T646" s="137"/>
      <c r="U646" s="137"/>
      <c r="V646" s="137"/>
      <c r="W646" s="137"/>
      <c r="X646" s="137"/>
    </row>
    <row r="647" spans="16:24" s="136" customFormat="1" ht="16.3">
      <c r="P647" s="137"/>
      <c r="Q647" s="137"/>
      <c r="R647" s="137"/>
      <c r="S647" s="137"/>
      <c r="T647" s="137"/>
      <c r="U647" s="137"/>
      <c r="V647" s="137"/>
      <c r="W647" s="137"/>
      <c r="X647" s="137"/>
    </row>
    <row r="648" spans="16:24" s="136" customFormat="1" ht="16.3">
      <c r="P648" s="137"/>
      <c r="Q648" s="137"/>
      <c r="R648" s="137"/>
      <c r="S648" s="137"/>
      <c r="T648" s="137"/>
      <c r="U648" s="137"/>
      <c r="V648" s="137"/>
      <c r="W648" s="137"/>
      <c r="X648" s="137"/>
    </row>
    <row r="649" spans="16:24" s="136" customFormat="1" ht="16.3">
      <c r="P649" s="137"/>
      <c r="Q649" s="137"/>
      <c r="R649" s="137"/>
      <c r="S649" s="137"/>
      <c r="T649" s="137"/>
      <c r="U649" s="137"/>
      <c r="V649" s="137"/>
      <c r="W649" s="137"/>
      <c r="X649" s="137"/>
    </row>
    <row r="650" spans="16:24" s="136" customFormat="1" ht="16.3">
      <c r="P650" s="137"/>
      <c r="Q650" s="137"/>
      <c r="R650" s="137"/>
      <c r="S650" s="137"/>
      <c r="T650" s="137"/>
      <c r="U650" s="137"/>
      <c r="V650" s="137"/>
      <c r="W650" s="137"/>
      <c r="X650" s="137"/>
    </row>
    <row r="651" spans="16:24" s="136" customFormat="1" ht="16.3">
      <c r="P651" s="137"/>
      <c r="Q651" s="137"/>
      <c r="R651" s="137"/>
      <c r="S651" s="137"/>
      <c r="T651" s="137"/>
      <c r="U651" s="137"/>
      <c r="V651" s="137"/>
      <c r="W651" s="137"/>
      <c r="X651" s="137"/>
    </row>
    <row r="652" spans="16:24" s="136" customFormat="1" ht="16.3">
      <c r="P652" s="137"/>
      <c r="Q652" s="137"/>
      <c r="R652" s="137"/>
      <c r="S652" s="137"/>
      <c r="T652" s="137"/>
      <c r="U652" s="137"/>
      <c r="V652" s="137"/>
      <c r="W652" s="137"/>
      <c r="X652" s="137"/>
    </row>
    <row r="653" spans="16:24" s="136" customFormat="1" ht="16.3">
      <c r="P653" s="137"/>
      <c r="Q653" s="137"/>
      <c r="R653" s="137"/>
      <c r="S653" s="137"/>
      <c r="T653" s="137"/>
      <c r="U653" s="137"/>
      <c r="V653" s="137"/>
      <c r="W653" s="137"/>
      <c r="X653" s="137"/>
    </row>
    <row r="654" spans="16:24" s="136" customFormat="1" ht="16.3">
      <c r="P654" s="137"/>
      <c r="Q654" s="137"/>
      <c r="R654" s="137"/>
      <c r="S654" s="137"/>
      <c r="T654" s="137"/>
      <c r="U654" s="137"/>
      <c r="V654" s="137"/>
      <c r="W654" s="137"/>
      <c r="X654" s="137"/>
    </row>
    <row r="655" spans="16:24" s="136" customFormat="1" ht="16.3">
      <c r="P655" s="137"/>
      <c r="Q655" s="137"/>
      <c r="R655" s="137"/>
      <c r="S655" s="137"/>
      <c r="T655" s="137"/>
      <c r="U655" s="137"/>
      <c r="V655" s="137"/>
      <c r="W655" s="137"/>
      <c r="X655" s="137"/>
    </row>
    <row r="656" spans="16:24" s="136" customFormat="1" ht="16.3">
      <c r="P656" s="137"/>
      <c r="Q656" s="137"/>
      <c r="R656" s="137"/>
      <c r="S656" s="137"/>
      <c r="T656" s="137"/>
      <c r="U656" s="137"/>
      <c r="V656" s="137"/>
      <c r="W656" s="137"/>
      <c r="X656" s="137"/>
    </row>
    <row r="657" spans="16:24" s="136" customFormat="1" ht="16.3">
      <c r="P657" s="137"/>
      <c r="Q657" s="137"/>
      <c r="R657" s="137"/>
      <c r="S657" s="137"/>
      <c r="T657" s="137"/>
      <c r="U657" s="137"/>
      <c r="V657" s="137"/>
      <c r="W657" s="137"/>
      <c r="X657" s="137"/>
    </row>
    <row r="658" spans="16:24" s="136" customFormat="1" ht="16.3">
      <c r="P658" s="137"/>
      <c r="Q658" s="137"/>
      <c r="R658" s="137"/>
      <c r="S658" s="137"/>
      <c r="T658" s="137"/>
      <c r="U658" s="137"/>
      <c r="V658" s="137"/>
      <c r="W658" s="137"/>
      <c r="X658" s="137"/>
    </row>
    <row r="659" spans="16:24" s="136" customFormat="1" ht="16.3">
      <c r="P659" s="137"/>
      <c r="Q659" s="137"/>
      <c r="R659" s="137"/>
      <c r="S659" s="137"/>
      <c r="T659" s="137"/>
      <c r="U659" s="137"/>
      <c r="V659" s="137"/>
      <c r="W659" s="137"/>
      <c r="X659" s="137"/>
    </row>
    <row r="660" spans="16:24" s="136" customFormat="1" ht="16.3">
      <c r="P660" s="137"/>
      <c r="Q660" s="137"/>
      <c r="R660" s="137"/>
      <c r="S660" s="137"/>
      <c r="T660" s="137"/>
      <c r="U660" s="137"/>
      <c r="V660" s="137"/>
      <c r="W660" s="137"/>
      <c r="X660" s="137"/>
    </row>
    <row r="661" spans="16:24" s="136" customFormat="1" ht="16.3">
      <c r="P661" s="137"/>
      <c r="Q661" s="137"/>
      <c r="R661" s="137"/>
      <c r="S661" s="137"/>
      <c r="T661" s="137"/>
      <c r="U661" s="137"/>
      <c r="V661" s="137"/>
      <c r="W661" s="137"/>
      <c r="X661" s="137"/>
    </row>
    <row r="662" spans="16:24" s="136" customFormat="1" ht="16.3">
      <c r="P662" s="137"/>
      <c r="Q662" s="137"/>
      <c r="R662" s="137"/>
      <c r="S662" s="137"/>
      <c r="T662" s="137"/>
      <c r="U662" s="137"/>
      <c r="V662" s="137"/>
      <c r="W662" s="137"/>
      <c r="X662" s="137"/>
    </row>
    <row r="663" spans="16:24" s="136" customFormat="1" ht="16.3">
      <c r="P663" s="137"/>
      <c r="Q663" s="137"/>
      <c r="R663" s="137"/>
      <c r="S663" s="137"/>
      <c r="T663" s="137"/>
      <c r="U663" s="137"/>
      <c r="V663" s="137"/>
      <c r="W663" s="137"/>
      <c r="X663" s="137"/>
    </row>
    <row r="664" spans="16:24" s="136" customFormat="1" ht="16.3">
      <c r="P664" s="137"/>
      <c r="Q664" s="137"/>
      <c r="R664" s="137"/>
      <c r="S664" s="137"/>
      <c r="T664" s="137"/>
      <c r="U664" s="137"/>
      <c r="V664" s="137"/>
      <c r="W664" s="137"/>
      <c r="X664" s="137"/>
    </row>
    <row r="665" spans="16:24" s="136" customFormat="1" ht="16.3">
      <c r="P665" s="137"/>
      <c r="Q665" s="137"/>
      <c r="R665" s="137"/>
      <c r="S665" s="137"/>
      <c r="T665" s="137"/>
      <c r="U665" s="137"/>
      <c r="V665" s="137"/>
      <c r="W665" s="137"/>
      <c r="X665" s="137"/>
    </row>
    <row r="666" spans="16:24" s="136" customFormat="1" ht="16.3">
      <c r="P666" s="137"/>
      <c r="Q666" s="137"/>
      <c r="R666" s="137"/>
      <c r="S666" s="137"/>
      <c r="T666" s="137"/>
      <c r="U666" s="137"/>
      <c r="V666" s="137"/>
      <c r="W666" s="137"/>
      <c r="X666" s="137"/>
    </row>
    <row r="667" spans="16:24" s="136" customFormat="1" ht="16.3">
      <c r="P667" s="137"/>
      <c r="Q667" s="137"/>
      <c r="R667" s="137"/>
      <c r="S667" s="137"/>
      <c r="T667" s="137"/>
      <c r="U667" s="137"/>
      <c r="V667" s="137"/>
      <c r="W667" s="137"/>
      <c r="X667" s="137"/>
    </row>
    <row r="668" spans="16:24" s="136" customFormat="1" ht="16.3">
      <c r="P668" s="137"/>
      <c r="Q668" s="137"/>
      <c r="R668" s="137"/>
      <c r="S668" s="137"/>
      <c r="T668" s="137"/>
      <c r="U668" s="137"/>
      <c r="V668" s="137"/>
      <c r="W668" s="137"/>
      <c r="X668" s="137"/>
    </row>
    <row r="669" spans="16:24" s="136" customFormat="1" ht="16.3">
      <c r="P669" s="137"/>
      <c r="Q669" s="137"/>
      <c r="R669" s="137"/>
      <c r="S669" s="137"/>
      <c r="T669" s="137"/>
      <c r="U669" s="137"/>
      <c r="V669" s="137"/>
      <c r="W669" s="137"/>
      <c r="X669" s="137"/>
    </row>
    <row r="670" spans="16:24" s="136" customFormat="1" ht="16.3">
      <c r="P670" s="137"/>
      <c r="Q670" s="137"/>
      <c r="R670" s="137"/>
      <c r="S670" s="137"/>
      <c r="T670" s="137"/>
      <c r="U670" s="137"/>
      <c r="V670" s="137"/>
      <c r="W670" s="137"/>
      <c r="X670" s="137"/>
    </row>
    <row r="671" spans="16:24" s="136" customFormat="1" ht="16.3">
      <c r="P671" s="137"/>
      <c r="Q671" s="137"/>
      <c r="R671" s="137"/>
      <c r="S671" s="137"/>
      <c r="T671" s="137"/>
      <c r="U671" s="137"/>
      <c r="V671" s="137"/>
      <c r="W671" s="137"/>
      <c r="X671" s="137"/>
    </row>
    <row r="672" spans="16:24" s="136" customFormat="1" ht="16.3">
      <c r="P672" s="137"/>
      <c r="Q672" s="137"/>
      <c r="R672" s="137"/>
      <c r="S672" s="137"/>
      <c r="T672" s="137"/>
      <c r="U672" s="137"/>
      <c r="V672" s="137"/>
      <c r="W672" s="137"/>
      <c r="X672" s="137"/>
    </row>
    <row r="673" spans="16:24" s="136" customFormat="1" ht="16.3">
      <c r="P673" s="137"/>
      <c r="Q673" s="137"/>
      <c r="R673" s="137"/>
      <c r="S673" s="137"/>
      <c r="T673" s="137"/>
      <c r="U673" s="137"/>
      <c r="V673" s="137"/>
      <c r="W673" s="137"/>
      <c r="X673" s="137"/>
    </row>
    <row r="674" spans="16:24" s="136" customFormat="1" ht="16.3">
      <c r="P674" s="137"/>
      <c r="Q674" s="137"/>
      <c r="R674" s="137"/>
      <c r="S674" s="137"/>
      <c r="T674" s="137"/>
      <c r="U674" s="137"/>
      <c r="V674" s="137"/>
      <c r="W674" s="137"/>
      <c r="X674" s="137"/>
    </row>
    <row r="675" spans="16:24" s="136" customFormat="1" ht="16.3">
      <c r="P675" s="137"/>
      <c r="Q675" s="137"/>
      <c r="R675" s="137"/>
      <c r="S675" s="137"/>
      <c r="T675" s="137"/>
      <c r="U675" s="137"/>
      <c r="V675" s="137"/>
      <c r="W675" s="137"/>
      <c r="X675" s="137"/>
    </row>
    <row r="676" spans="16:24" s="136" customFormat="1" ht="16.3">
      <c r="P676" s="137"/>
      <c r="Q676" s="137"/>
      <c r="R676" s="137"/>
      <c r="S676" s="137"/>
      <c r="T676" s="137"/>
      <c r="U676" s="137"/>
      <c r="V676" s="137"/>
      <c r="W676" s="137"/>
      <c r="X676" s="137"/>
    </row>
    <row r="677" spans="16:24" s="136" customFormat="1" ht="16.3">
      <c r="P677" s="137"/>
      <c r="Q677" s="137"/>
      <c r="R677" s="137"/>
      <c r="S677" s="137"/>
      <c r="T677" s="137"/>
      <c r="U677" s="137"/>
      <c r="V677" s="137"/>
      <c r="W677" s="137"/>
      <c r="X677" s="137"/>
    </row>
    <row r="678" spans="16:24" s="136" customFormat="1" ht="16.3">
      <c r="P678" s="137"/>
      <c r="Q678" s="137"/>
      <c r="R678" s="137"/>
      <c r="S678" s="137"/>
      <c r="T678" s="137"/>
      <c r="U678" s="137"/>
      <c r="V678" s="137"/>
      <c r="W678" s="137"/>
      <c r="X678" s="137"/>
    </row>
    <row r="679" spans="16:24" s="136" customFormat="1" ht="16.3">
      <c r="P679" s="137"/>
      <c r="Q679" s="137"/>
      <c r="R679" s="137"/>
      <c r="S679" s="137"/>
      <c r="T679" s="137"/>
      <c r="U679" s="137"/>
      <c r="V679" s="137"/>
      <c r="W679" s="137"/>
      <c r="X679" s="137"/>
    </row>
    <row r="680" spans="16:24" s="136" customFormat="1" ht="16.3">
      <c r="P680" s="137"/>
      <c r="Q680" s="137"/>
      <c r="R680" s="137"/>
      <c r="S680" s="137"/>
      <c r="T680" s="137"/>
      <c r="U680" s="137"/>
      <c r="V680" s="137"/>
      <c r="W680" s="137"/>
      <c r="X680" s="137"/>
    </row>
    <row r="681" spans="16:24" s="136" customFormat="1" ht="16.3">
      <c r="P681" s="137"/>
      <c r="Q681" s="137"/>
      <c r="R681" s="137"/>
      <c r="S681" s="137"/>
      <c r="T681" s="137"/>
      <c r="U681" s="137"/>
      <c r="V681" s="137"/>
      <c r="W681" s="137"/>
      <c r="X681" s="137"/>
    </row>
    <row r="682" spans="16:24" s="136" customFormat="1" ht="16.3">
      <c r="P682" s="137"/>
      <c r="Q682" s="137"/>
      <c r="R682" s="137"/>
      <c r="S682" s="137"/>
      <c r="T682" s="137"/>
      <c r="U682" s="137"/>
      <c r="V682" s="137"/>
      <c r="W682" s="137"/>
      <c r="X682" s="137"/>
    </row>
    <row r="683" spans="16:24" s="136" customFormat="1" ht="16.3">
      <c r="P683" s="137"/>
      <c r="Q683" s="137"/>
      <c r="R683" s="137"/>
      <c r="S683" s="137"/>
      <c r="T683" s="137"/>
      <c r="U683" s="137"/>
      <c r="V683" s="137"/>
      <c r="W683" s="137"/>
      <c r="X683" s="137"/>
    </row>
    <row r="684" spans="16:24" s="136" customFormat="1" ht="16.3">
      <c r="P684" s="137"/>
      <c r="Q684" s="137"/>
      <c r="R684" s="137"/>
      <c r="S684" s="137"/>
      <c r="T684" s="137"/>
      <c r="U684" s="137"/>
      <c r="V684" s="137"/>
      <c r="W684" s="137"/>
      <c r="X684" s="137"/>
    </row>
    <row r="685" spans="16:24" s="136" customFormat="1" ht="16.3">
      <c r="P685" s="137"/>
      <c r="Q685" s="137"/>
      <c r="R685" s="137"/>
      <c r="S685" s="137"/>
      <c r="T685" s="137"/>
      <c r="U685" s="137"/>
      <c r="V685" s="137"/>
      <c r="W685" s="137"/>
      <c r="X685" s="137"/>
    </row>
    <row r="686" spans="16:24" s="136" customFormat="1" ht="16.3">
      <c r="P686" s="137"/>
      <c r="Q686" s="137"/>
      <c r="R686" s="137"/>
      <c r="S686" s="137"/>
      <c r="T686" s="137"/>
      <c r="U686" s="137"/>
      <c r="V686" s="137"/>
      <c r="W686" s="137"/>
      <c r="X686" s="137"/>
    </row>
    <row r="687" spans="16:24" s="136" customFormat="1" ht="16.3">
      <c r="P687" s="137"/>
      <c r="Q687" s="137"/>
      <c r="R687" s="137"/>
      <c r="S687" s="137"/>
      <c r="T687" s="137"/>
      <c r="U687" s="137"/>
      <c r="V687" s="137"/>
      <c r="W687" s="137"/>
      <c r="X687" s="137"/>
    </row>
    <row r="688" spans="16:24" s="136" customFormat="1" ht="16.3">
      <c r="P688" s="137"/>
      <c r="Q688" s="137"/>
      <c r="R688" s="137"/>
      <c r="S688" s="137"/>
      <c r="T688" s="137"/>
      <c r="U688" s="137"/>
      <c r="V688" s="137"/>
      <c r="W688" s="137"/>
      <c r="X688" s="137"/>
    </row>
    <row r="689" spans="16:24" s="136" customFormat="1" ht="16.3">
      <c r="P689" s="137"/>
      <c r="Q689" s="137"/>
      <c r="R689" s="137"/>
      <c r="S689" s="137"/>
      <c r="T689" s="137"/>
      <c r="U689" s="137"/>
      <c r="V689" s="137"/>
      <c r="W689" s="137"/>
      <c r="X689" s="137"/>
    </row>
    <row r="690" spans="16:24" s="136" customFormat="1" ht="16.3">
      <c r="P690" s="137"/>
      <c r="Q690" s="137"/>
      <c r="R690" s="137"/>
      <c r="S690" s="137"/>
      <c r="T690" s="137"/>
      <c r="U690" s="137"/>
      <c r="V690" s="137"/>
      <c r="W690" s="137"/>
      <c r="X690" s="137"/>
    </row>
    <row r="691" spans="16:24" s="136" customFormat="1" ht="16.3">
      <c r="P691" s="137"/>
      <c r="Q691" s="137"/>
      <c r="R691" s="137"/>
      <c r="S691" s="137"/>
      <c r="T691" s="137"/>
      <c r="U691" s="137"/>
      <c r="V691" s="137"/>
      <c r="W691" s="137"/>
      <c r="X691" s="137"/>
    </row>
    <row r="692" spans="16:24" s="136" customFormat="1" ht="16.3">
      <c r="P692" s="137"/>
      <c r="Q692" s="137"/>
      <c r="R692" s="137"/>
      <c r="S692" s="137"/>
      <c r="T692" s="137"/>
      <c r="U692" s="137"/>
      <c r="V692" s="137"/>
      <c r="W692" s="137"/>
      <c r="X692" s="137"/>
    </row>
    <row r="693" spans="16:24" s="136" customFormat="1" ht="16.3">
      <c r="P693" s="137"/>
      <c r="Q693" s="137"/>
      <c r="R693" s="137"/>
      <c r="S693" s="137"/>
      <c r="T693" s="137"/>
      <c r="U693" s="137"/>
      <c r="V693" s="137"/>
      <c r="W693" s="137"/>
      <c r="X693" s="137"/>
    </row>
    <row r="694" spans="16:24" s="136" customFormat="1" ht="16.3">
      <c r="P694" s="137"/>
      <c r="Q694" s="137"/>
      <c r="R694" s="137"/>
      <c r="S694" s="137"/>
      <c r="T694" s="137"/>
      <c r="U694" s="137"/>
      <c r="V694" s="137"/>
      <c r="W694" s="137"/>
      <c r="X694" s="137"/>
    </row>
    <row r="695" spans="16:24" s="136" customFormat="1" ht="16.3">
      <c r="P695" s="137"/>
      <c r="Q695" s="137"/>
      <c r="R695" s="137"/>
      <c r="S695" s="137"/>
      <c r="T695" s="137"/>
      <c r="U695" s="137"/>
      <c r="V695" s="137"/>
      <c r="W695" s="137"/>
      <c r="X695" s="137"/>
    </row>
    <row r="696" spans="16:24" s="136" customFormat="1" ht="16.3">
      <c r="P696" s="137"/>
      <c r="Q696" s="137"/>
      <c r="R696" s="137"/>
      <c r="S696" s="137"/>
      <c r="T696" s="137"/>
      <c r="U696" s="137"/>
      <c r="V696" s="137"/>
      <c r="W696" s="137"/>
      <c r="X696" s="137"/>
    </row>
    <row r="697" spans="16:24" s="136" customFormat="1" ht="16.3">
      <c r="P697" s="137"/>
      <c r="Q697" s="137"/>
      <c r="R697" s="137"/>
      <c r="S697" s="137"/>
      <c r="T697" s="137"/>
      <c r="U697" s="137"/>
      <c r="V697" s="137"/>
      <c r="W697" s="137"/>
      <c r="X697" s="137"/>
    </row>
    <row r="698" spans="16:24" s="136" customFormat="1" ht="16.3">
      <c r="P698" s="137"/>
      <c r="Q698" s="137"/>
      <c r="R698" s="137"/>
      <c r="S698" s="137"/>
      <c r="T698" s="137"/>
      <c r="U698" s="137"/>
      <c r="V698" s="137"/>
      <c r="W698" s="137"/>
      <c r="X698" s="137"/>
    </row>
    <row r="699" spans="16:24" s="136" customFormat="1" ht="16.3">
      <c r="P699" s="137"/>
      <c r="Q699" s="137"/>
      <c r="R699" s="137"/>
      <c r="S699" s="137"/>
      <c r="T699" s="137"/>
      <c r="U699" s="137"/>
      <c r="V699" s="137"/>
      <c r="W699" s="137"/>
      <c r="X699" s="137"/>
    </row>
    <row r="700" spans="16:24" s="136" customFormat="1" ht="16.3">
      <c r="P700" s="137"/>
      <c r="Q700" s="137"/>
      <c r="R700" s="137"/>
      <c r="S700" s="137"/>
      <c r="T700" s="137"/>
      <c r="U700" s="137"/>
      <c r="V700" s="137"/>
      <c r="W700" s="137"/>
      <c r="X700" s="137"/>
    </row>
    <row r="701" spans="16:24" s="136" customFormat="1" ht="16.3">
      <c r="P701" s="137"/>
      <c r="Q701" s="137"/>
      <c r="R701" s="137"/>
      <c r="S701" s="137"/>
      <c r="T701" s="137"/>
      <c r="U701" s="137"/>
      <c r="V701" s="137"/>
      <c r="W701" s="137"/>
      <c r="X701" s="137"/>
    </row>
    <row r="702" spans="16:24" s="136" customFormat="1" ht="16.3">
      <c r="P702" s="137"/>
      <c r="Q702" s="137"/>
      <c r="R702" s="137"/>
      <c r="S702" s="137"/>
      <c r="T702" s="137"/>
      <c r="U702" s="137"/>
      <c r="V702" s="137"/>
      <c r="W702" s="137"/>
      <c r="X702" s="137"/>
    </row>
    <row r="703" spans="16:24" s="136" customFormat="1" ht="16.3">
      <c r="P703" s="137"/>
      <c r="Q703" s="137"/>
      <c r="R703" s="137"/>
      <c r="S703" s="137"/>
      <c r="T703" s="137"/>
      <c r="U703" s="137"/>
      <c r="V703" s="137"/>
      <c r="W703" s="137"/>
      <c r="X703" s="137"/>
    </row>
    <row r="704" spans="16:24" s="136" customFormat="1" ht="16.3">
      <c r="P704" s="137"/>
      <c r="Q704" s="137"/>
      <c r="R704" s="137"/>
      <c r="S704" s="137"/>
      <c r="T704" s="137"/>
      <c r="U704" s="137"/>
      <c r="V704" s="137"/>
      <c r="W704" s="137"/>
      <c r="X704" s="137"/>
    </row>
    <row r="705" spans="16:24" s="136" customFormat="1" ht="16.3">
      <c r="P705" s="137"/>
      <c r="Q705" s="137"/>
      <c r="R705" s="137"/>
      <c r="S705" s="137"/>
      <c r="T705" s="137"/>
      <c r="U705" s="137"/>
      <c r="V705" s="137"/>
      <c r="W705" s="137"/>
      <c r="X705" s="137"/>
    </row>
    <row r="706" spans="16:24" s="136" customFormat="1" ht="16.3">
      <c r="P706" s="137"/>
      <c r="Q706" s="137"/>
      <c r="R706" s="137"/>
      <c r="S706" s="137"/>
      <c r="T706" s="137"/>
      <c r="U706" s="137"/>
      <c r="V706" s="137"/>
      <c r="W706" s="137"/>
      <c r="X706" s="137"/>
    </row>
    <row r="707" spans="16:24" s="136" customFormat="1" ht="16.3">
      <c r="P707" s="137"/>
      <c r="Q707" s="137"/>
      <c r="R707" s="137"/>
      <c r="S707" s="137"/>
      <c r="T707" s="137"/>
      <c r="U707" s="137"/>
      <c r="V707" s="137"/>
      <c r="W707" s="137"/>
      <c r="X707" s="137"/>
    </row>
    <row r="708" spans="16:24" s="136" customFormat="1" ht="16.3">
      <c r="P708" s="137"/>
      <c r="Q708" s="137"/>
      <c r="R708" s="137"/>
      <c r="S708" s="137"/>
      <c r="T708" s="137"/>
      <c r="U708" s="137"/>
      <c r="V708" s="137"/>
      <c r="W708" s="137"/>
      <c r="X708" s="137"/>
    </row>
    <row r="709" spans="16:24" s="136" customFormat="1" ht="16.3">
      <c r="P709" s="137"/>
      <c r="Q709" s="137"/>
      <c r="R709" s="137"/>
      <c r="S709" s="137"/>
      <c r="T709" s="137"/>
      <c r="U709" s="137"/>
      <c r="V709" s="137"/>
      <c r="W709" s="137"/>
      <c r="X709" s="137"/>
    </row>
    <row r="710" spans="16:24" s="136" customFormat="1" ht="16.3">
      <c r="P710" s="137"/>
      <c r="Q710" s="137"/>
      <c r="R710" s="137"/>
      <c r="S710" s="137"/>
      <c r="T710" s="137"/>
      <c r="U710" s="137"/>
      <c r="V710" s="137"/>
      <c r="W710" s="137"/>
      <c r="X710" s="137"/>
    </row>
    <row r="711" spans="16:24" s="136" customFormat="1" ht="16.3">
      <c r="P711" s="137"/>
      <c r="Q711" s="137"/>
      <c r="R711" s="137"/>
      <c r="S711" s="137"/>
      <c r="T711" s="137"/>
      <c r="U711" s="137"/>
      <c r="V711" s="137"/>
      <c r="W711" s="137"/>
      <c r="X711" s="137"/>
    </row>
    <row r="712" spans="16:24" s="136" customFormat="1" ht="16.3">
      <c r="P712" s="137"/>
      <c r="Q712" s="137"/>
      <c r="R712" s="137"/>
      <c r="S712" s="137"/>
      <c r="T712" s="137"/>
      <c r="U712" s="137"/>
      <c r="V712" s="137"/>
      <c r="W712" s="137"/>
      <c r="X712" s="137"/>
    </row>
    <row r="713" spans="16:24" s="136" customFormat="1" ht="16.3">
      <c r="P713" s="137"/>
      <c r="Q713" s="137"/>
      <c r="R713" s="137"/>
      <c r="S713" s="137"/>
      <c r="T713" s="137"/>
      <c r="U713" s="137"/>
      <c r="V713" s="137"/>
      <c r="W713" s="137"/>
      <c r="X713" s="137"/>
    </row>
    <row r="714" spans="16:24" s="136" customFormat="1" ht="16.3">
      <c r="P714" s="137"/>
      <c r="Q714" s="137"/>
      <c r="R714" s="137"/>
      <c r="S714" s="137"/>
      <c r="T714" s="137"/>
      <c r="U714" s="137"/>
      <c r="V714" s="137"/>
      <c r="W714" s="137"/>
      <c r="X714" s="137"/>
    </row>
    <row r="715" spans="16:24" s="136" customFormat="1" ht="16.3">
      <c r="P715" s="137"/>
      <c r="Q715" s="137"/>
      <c r="R715" s="137"/>
      <c r="S715" s="137"/>
      <c r="T715" s="137"/>
      <c r="U715" s="137"/>
      <c r="V715" s="137"/>
      <c r="W715" s="137"/>
      <c r="X715" s="137"/>
    </row>
    <row r="716" spans="16:24" s="136" customFormat="1" ht="16.3">
      <c r="P716" s="137"/>
      <c r="Q716" s="137"/>
      <c r="R716" s="137"/>
      <c r="S716" s="137"/>
      <c r="T716" s="137"/>
      <c r="U716" s="137"/>
      <c r="V716" s="137"/>
      <c r="W716" s="137"/>
      <c r="X716" s="137"/>
    </row>
    <row r="717" spans="16:24" s="136" customFormat="1" ht="16.3">
      <c r="P717" s="137"/>
      <c r="Q717" s="137"/>
      <c r="R717" s="137"/>
      <c r="S717" s="137"/>
      <c r="T717" s="137"/>
      <c r="U717" s="137"/>
      <c r="V717" s="137"/>
      <c r="W717" s="137"/>
      <c r="X717" s="137"/>
    </row>
    <row r="718" spans="16:24" s="136" customFormat="1" ht="16.3">
      <c r="P718" s="137"/>
      <c r="Q718" s="137"/>
      <c r="R718" s="137"/>
      <c r="S718" s="137"/>
      <c r="T718" s="137"/>
      <c r="U718" s="137"/>
      <c r="V718" s="137"/>
      <c r="W718" s="137"/>
      <c r="X718" s="137"/>
    </row>
    <row r="719" spans="16:24" s="136" customFormat="1" ht="16.3">
      <c r="P719" s="137"/>
      <c r="Q719" s="137"/>
      <c r="R719" s="137"/>
      <c r="S719" s="137"/>
      <c r="T719" s="137"/>
      <c r="U719" s="137"/>
      <c r="V719" s="137"/>
      <c r="W719" s="137"/>
      <c r="X719" s="137"/>
    </row>
    <row r="720" spans="16:24" s="136" customFormat="1" ht="16.3">
      <c r="P720" s="137"/>
      <c r="Q720" s="137"/>
      <c r="R720" s="137"/>
      <c r="S720" s="137"/>
      <c r="T720" s="137"/>
      <c r="U720" s="137"/>
      <c r="V720" s="137"/>
      <c r="W720" s="137"/>
      <c r="X720" s="137"/>
    </row>
    <row r="721" spans="16:24" s="136" customFormat="1" ht="16.3">
      <c r="P721" s="137"/>
      <c r="Q721" s="137"/>
      <c r="R721" s="137"/>
      <c r="S721" s="137"/>
      <c r="T721" s="137"/>
      <c r="U721" s="137"/>
      <c r="V721" s="137"/>
      <c r="W721" s="137"/>
      <c r="X721" s="137"/>
    </row>
    <row r="722" spans="16:24" s="136" customFormat="1" ht="16.3">
      <c r="P722" s="137"/>
      <c r="Q722" s="137"/>
      <c r="R722" s="137"/>
      <c r="S722" s="137"/>
      <c r="T722" s="137"/>
      <c r="U722" s="137"/>
      <c r="V722" s="137"/>
      <c r="W722" s="137"/>
      <c r="X722" s="137"/>
    </row>
    <row r="723" spans="16:24" s="136" customFormat="1" ht="16.3">
      <c r="P723" s="137"/>
      <c r="Q723" s="137"/>
      <c r="R723" s="137"/>
      <c r="S723" s="137"/>
      <c r="T723" s="137"/>
      <c r="U723" s="137"/>
      <c r="V723" s="137"/>
      <c r="W723" s="137"/>
      <c r="X723" s="137"/>
    </row>
    <row r="724" spans="16:24" s="136" customFormat="1" ht="16.3">
      <c r="P724" s="137"/>
      <c r="Q724" s="137"/>
      <c r="R724" s="137"/>
      <c r="S724" s="137"/>
      <c r="T724" s="137"/>
      <c r="U724" s="137"/>
      <c r="V724" s="137"/>
      <c r="W724" s="137"/>
      <c r="X724" s="137"/>
    </row>
    <row r="725" spans="16:24" s="136" customFormat="1" ht="16.3">
      <c r="P725" s="137"/>
      <c r="Q725" s="137"/>
      <c r="R725" s="137"/>
      <c r="S725" s="137"/>
      <c r="T725" s="137"/>
      <c r="U725" s="137"/>
      <c r="V725" s="137"/>
      <c r="W725" s="137"/>
      <c r="X725" s="137"/>
    </row>
    <row r="726" spans="16:24" s="136" customFormat="1" ht="16.3">
      <c r="P726" s="137"/>
      <c r="Q726" s="137"/>
      <c r="R726" s="137"/>
      <c r="S726" s="137"/>
      <c r="T726" s="137"/>
      <c r="U726" s="137"/>
      <c r="V726" s="137"/>
      <c r="W726" s="137"/>
      <c r="X726" s="137"/>
    </row>
    <row r="727" spans="16:24" s="136" customFormat="1" ht="16.3">
      <c r="P727" s="137"/>
      <c r="Q727" s="137"/>
      <c r="R727" s="137"/>
      <c r="S727" s="137"/>
      <c r="T727" s="137"/>
      <c r="U727" s="137"/>
      <c r="V727" s="137"/>
      <c r="W727" s="137"/>
      <c r="X727" s="137"/>
    </row>
    <row r="728" spans="16:24" s="136" customFormat="1" ht="16.3">
      <c r="P728" s="137"/>
      <c r="Q728" s="137"/>
      <c r="R728" s="137"/>
      <c r="S728" s="137"/>
      <c r="T728" s="137"/>
      <c r="U728" s="137"/>
      <c r="V728" s="137"/>
      <c r="W728" s="137"/>
      <c r="X728" s="137"/>
    </row>
    <row r="729" spans="16:24" s="136" customFormat="1" ht="16.3">
      <c r="P729" s="137"/>
      <c r="Q729" s="137"/>
      <c r="R729" s="137"/>
      <c r="S729" s="137"/>
      <c r="T729" s="137"/>
      <c r="U729" s="137"/>
      <c r="V729" s="137"/>
      <c r="W729" s="137"/>
      <c r="X729" s="137"/>
    </row>
    <row r="730" spans="16:24" s="136" customFormat="1" ht="16.3">
      <c r="P730" s="137"/>
      <c r="Q730" s="137"/>
      <c r="R730" s="137"/>
      <c r="S730" s="137"/>
      <c r="T730" s="137"/>
      <c r="U730" s="137"/>
      <c r="V730" s="137"/>
      <c r="W730" s="137"/>
      <c r="X730" s="137"/>
    </row>
    <row r="731" spans="16:24" s="136" customFormat="1" ht="16.3">
      <c r="P731" s="137"/>
      <c r="Q731" s="137"/>
      <c r="R731" s="137"/>
      <c r="S731" s="137"/>
      <c r="T731" s="137"/>
      <c r="U731" s="137"/>
      <c r="V731" s="137"/>
      <c r="W731" s="137"/>
      <c r="X731" s="137"/>
    </row>
    <row r="732" spans="16:24" s="136" customFormat="1" ht="16.3">
      <c r="P732" s="137"/>
      <c r="Q732" s="137"/>
      <c r="R732" s="137"/>
      <c r="S732" s="137"/>
      <c r="T732" s="137"/>
      <c r="U732" s="137"/>
      <c r="V732" s="137"/>
      <c r="W732" s="137"/>
      <c r="X732" s="137"/>
    </row>
    <row r="733" spans="16:24" s="136" customFormat="1" ht="16.3">
      <c r="P733" s="137"/>
      <c r="Q733" s="137"/>
      <c r="R733" s="137"/>
      <c r="S733" s="137"/>
      <c r="T733" s="137"/>
      <c r="U733" s="137"/>
      <c r="V733" s="137"/>
      <c r="W733" s="137"/>
      <c r="X733" s="137"/>
    </row>
    <row r="734" spans="16:24" s="136" customFormat="1" ht="16.3">
      <c r="P734" s="137"/>
      <c r="Q734" s="137"/>
      <c r="R734" s="137"/>
      <c r="S734" s="137"/>
      <c r="T734" s="137"/>
      <c r="U734" s="137"/>
      <c r="V734" s="137"/>
      <c r="W734" s="137"/>
      <c r="X734" s="137"/>
    </row>
    <row r="735" spans="16:24" s="136" customFormat="1" ht="16.3">
      <c r="P735" s="137"/>
      <c r="Q735" s="137"/>
      <c r="R735" s="137"/>
      <c r="S735" s="137"/>
      <c r="T735" s="137"/>
      <c r="U735" s="137"/>
      <c r="V735" s="137"/>
      <c r="W735" s="137"/>
      <c r="X735" s="137"/>
    </row>
    <row r="736" spans="16:24" s="136" customFormat="1" ht="16.3">
      <c r="P736" s="137"/>
      <c r="Q736" s="137"/>
      <c r="R736" s="137"/>
      <c r="S736" s="137"/>
      <c r="T736" s="137"/>
      <c r="U736" s="137"/>
      <c r="V736" s="137"/>
      <c r="W736" s="137"/>
      <c r="X736" s="137"/>
    </row>
    <row r="737" spans="16:24" s="136" customFormat="1" ht="16.3">
      <c r="P737" s="137"/>
      <c r="Q737" s="137"/>
      <c r="R737" s="137"/>
      <c r="S737" s="137"/>
      <c r="T737" s="137"/>
      <c r="U737" s="137"/>
      <c r="V737" s="137"/>
      <c r="W737" s="137"/>
      <c r="X737" s="137"/>
    </row>
    <row r="738" spans="16:24" s="136" customFormat="1" ht="16.3">
      <c r="P738" s="137"/>
      <c r="Q738" s="137"/>
      <c r="R738" s="137"/>
      <c r="S738" s="137"/>
      <c r="T738" s="137"/>
      <c r="U738" s="137"/>
      <c r="V738" s="137"/>
      <c r="W738" s="137"/>
      <c r="X738" s="137"/>
    </row>
    <row r="739" spans="16:24" s="136" customFormat="1" ht="16.3">
      <c r="P739" s="137"/>
      <c r="Q739" s="137"/>
      <c r="R739" s="137"/>
      <c r="S739" s="137"/>
      <c r="T739" s="137"/>
      <c r="U739" s="137"/>
      <c r="V739" s="137"/>
      <c r="W739" s="137"/>
      <c r="X739" s="137"/>
    </row>
    <row r="740" spans="16:24" s="136" customFormat="1" ht="16.3">
      <c r="P740" s="137"/>
      <c r="Q740" s="137"/>
      <c r="R740" s="137"/>
      <c r="S740" s="137"/>
      <c r="T740" s="137"/>
      <c r="U740" s="137"/>
      <c r="V740" s="137"/>
      <c r="W740" s="137"/>
      <c r="X740" s="137"/>
    </row>
    <row r="741" spans="16:24" s="136" customFormat="1" ht="16.3">
      <c r="P741" s="137"/>
      <c r="Q741" s="137"/>
      <c r="R741" s="137"/>
      <c r="S741" s="137"/>
      <c r="T741" s="137"/>
      <c r="U741" s="137"/>
      <c r="V741" s="137"/>
      <c r="W741" s="137"/>
      <c r="X741" s="137"/>
    </row>
    <row r="742" spans="16:24" s="136" customFormat="1" ht="16.3">
      <c r="P742" s="137"/>
      <c r="Q742" s="137"/>
      <c r="R742" s="137"/>
      <c r="S742" s="137"/>
      <c r="T742" s="137"/>
      <c r="U742" s="137"/>
      <c r="V742" s="137"/>
      <c r="W742" s="137"/>
      <c r="X742" s="137"/>
    </row>
    <row r="743" spans="16:24" s="136" customFormat="1" ht="16.3">
      <c r="P743" s="137"/>
      <c r="Q743" s="137"/>
      <c r="R743" s="137"/>
      <c r="S743" s="137"/>
      <c r="T743" s="137"/>
      <c r="U743" s="137"/>
      <c r="V743" s="137"/>
      <c r="W743" s="137"/>
      <c r="X743" s="137"/>
    </row>
    <row r="744" spans="16:24" s="136" customFormat="1" ht="16.3">
      <c r="P744" s="137"/>
      <c r="Q744" s="137"/>
      <c r="R744" s="137"/>
      <c r="S744" s="137"/>
      <c r="T744" s="137"/>
      <c r="U744" s="137"/>
      <c r="V744" s="137"/>
      <c r="W744" s="137"/>
      <c r="X744" s="137"/>
    </row>
    <row r="745" spans="16:24" s="136" customFormat="1" ht="16.3">
      <c r="P745" s="137"/>
      <c r="Q745" s="137"/>
      <c r="R745" s="137"/>
      <c r="S745" s="137"/>
      <c r="T745" s="137"/>
      <c r="U745" s="137"/>
      <c r="V745" s="137"/>
      <c r="W745" s="137"/>
      <c r="X745" s="137"/>
    </row>
    <row r="746" spans="16:24" s="136" customFormat="1" ht="16.3">
      <c r="P746" s="137"/>
      <c r="Q746" s="137"/>
      <c r="R746" s="137"/>
      <c r="S746" s="137"/>
      <c r="T746" s="137"/>
      <c r="U746" s="137"/>
      <c r="V746" s="137"/>
      <c r="W746" s="137"/>
      <c r="X746" s="137"/>
    </row>
    <row r="747" spans="16:24" s="136" customFormat="1" ht="16.3">
      <c r="P747" s="137"/>
      <c r="Q747" s="137"/>
      <c r="R747" s="137"/>
      <c r="S747" s="137"/>
      <c r="T747" s="137"/>
      <c r="U747" s="137"/>
      <c r="V747" s="137"/>
      <c r="W747" s="137"/>
      <c r="X747" s="137"/>
    </row>
    <row r="748" spans="16:24" s="136" customFormat="1" ht="16.3">
      <c r="P748" s="137"/>
      <c r="Q748" s="137"/>
      <c r="R748" s="137"/>
      <c r="S748" s="137"/>
      <c r="T748" s="137"/>
      <c r="U748" s="137"/>
      <c r="V748" s="137"/>
      <c r="W748" s="137"/>
      <c r="X748" s="137"/>
    </row>
    <row r="749" spans="16:24" s="136" customFormat="1" ht="16.3">
      <c r="P749" s="137"/>
      <c r="Q749" s="137"/>
      <c r="R749" s="137"/>
      <c r="S749" s="137"/>
      <c r="T749" s="137"/>
      <c r="U749" s="137"/>
      <c r="V749" s="137"/>
      <c r="W749" s="137"/>
      <c r="X749" s="137"/>
    </row>
    <row r="750" spans="16:24" s="136" customFormat="1" ht="16.3">
      <c r="P750" s="137"/>
      <c r="Q750" s="137"/>
      <c r="R750" s="137"/>
      <c r="S750" s="137"/>
      <c r="T750" s="137"/>
      <c r="U750" s="137"/>
      <c r="V750" s="137"/>
      <c r="W750" s="137"/>
      <c r="X750" s="137"/>
    </row>
    <row r="751" spans="16:24" s="136" customFormat="1" ht="16.3">
      <c r="P751" s="137"/>
      <c r="Q751" s="137"/>
      <c r="R751" s="137"/>
      <c r="S751" s="137"/>
      <c r="T751" s="137"/>
      <c r="U751" s="137"/>
      <c r="V751" s="137"/>
      <c r="W751" s="137"/>
      <c r="X751" s="137"/>
    </row>
    <row r="752" spans="16:24" s="136" customFormat="1" ht="16.3">
      <c r="P752" s="137"/>
      <c r="Q752" s="137"/>
      <c r="R752" s="137"/>
      <c r="S752" s="137"/>
      <c r="T752" s="137"/>
      <c r="U752" s="137"/>
      <c r="V752" s="137"/>
      <c r="W752" s="137"/>
      <c r="X752" s="137"/>
    </row>
    <row r="753" spans="16:24" s="136" customFormat="1" ht="16.3">
      <c r="P753" s="137"/>
      <c r="Q753" s="137"/>
      <c r="R753" s="137"/>
      <c r="S753" s="137"/>
      <c r="T753" s="137"/>
      <c r="U753" s="137"/>
      <c r="V753" s="137"/>
      <c r="W753" s="137"/>
      <c r="X753" s="137"/>
    </row>
    <row r="754" spans="16:24" s="136" customFormat="1" ht="16.3">
      <c r="P754" s="137"/>
      <c r="Q754" s="137"/>
      <c r="R754" s="137"/>
      <c r="S754" s="137"/>
      <c r="T754" s="137"/>
      <c r="U754" s="137"/>
      <c r="V754" s="137"/>
      <c r="W754" s="137"/>
      <c r="X754" s="137"/>
    </row>
    <row r="755" spans="16:24" s="136" customFormat="1" ht="16.3">
      <c r="P755" s="137"/>
      <c r="Q755" s="137"/>
      <c r="R755" s="137"/>
      <c r="S755" s="137"/>
      <c r="T755" s="137"/>
      <c r="U755" s="137"/>
      <c r="V755" s="137"/>
      <c r="W755" s="137"/>
      <c r="X755" s="137"/>
    </row>
    <row r="756" spans="16:24" s="136" customFormat="1" ht="16.3">
      <c r="P756" s="137"/>
      <c r="Q756" s="137"/>
      <c r="R756" s="137"/>
      <c r="S756" s="137"/>
      <c r="T756" s="137"/>
      <c r="U756" s="137"/>
      <c r="V756" s="137"/>
      <c r="W756" s="137"/>
      <c r="X756" s="137"/>
    </row>
    <row r="757" spans="16:24" s="136" customFormat="1" ht="16.3">
      <c r="P757" s="137"/>
      <c r="Q757" s="137"/>
      <c r="R757" s="137"/>
      <c r="S757" s="137"/>
      <c r="T757" s="137"/>
      <c r="U757" s="137"/>
      <c r="V757" s="137"/>
      <c r="W757" s="137"/>
      <c r="X757" s="137"/>
    </row>
    <row r="758" spans="16:24" s="136" customFormat="1" ht="16.3">
      <c r="P758" s="137"/>
      <c r="Q758" s="137"/>
      <c r="R758" s="137"/>
      <c r="S758" s="137"/>
      <c r="T758" s="137"/>
      <c r="U758" s="137"/>
      <c r="V758" s="137"/>
      <c r="W758" s="137"/>
      <c r="X758" s="137"/>
    </row>
    <row r="759" spans="16:24" s="136" customFormat="1" ht="16.3">
      <c r="P759" s="137"/>
      <c r="Q759" s="137"/>
      <c r="R759" s="137"/>
      <c r="S759" s="137"/>
      <c r="T759" s="137"/>
      <c r="U759" s="137"/>
      <c r="V759" s="137"/>
      <c r="W759" s="137"/>
      <c r="X759" s="137"/>
    </row>
    <row r="760" spans="16:24" s="136" customFormat="1" ht="16.3">
      <c r="P760" s="137"/>
      <c r="Q760" s="137"/>
      <c r="R760" s="137"/>
      <c r="S760" s="137"/>
      <c r="T760" s="137"/>
      <c r="U760" s="137"/>
      <c r="V760" s="137"/>
      <c r="W760" s="137"/>
      <c r="X760" s="137"/>
    </row>
    <row r="761" spans="16:24" s="136" customFormat="1" ht="16.3">
      <c r="P761" s="137"/>
      <c r="Q761" s="137"/>
      <c r="R761" s="137"/>
      <c r="S761" s="137"/>
      <c r="T761" s="137"/>
      <c r="U761" s="137"/>
      <c r="V761" s="137"/>
      <c r="W761" s="137"/>
      <c r="X761" s="137"/>
    </row>
    <row r="762" spans="16:24" s="136" customFormat="1" ht="16.3">
      <c r="P762" s="137"/>
      <c r="Q762" s="137"/>
      <c r="R762" s="137"/>
      <c r="S762" s="137"/>
      <c r="T762" s="137"/>
      <c r="U762" s="137"/>
      <c r="V762" s="137"/>
      <c r="W762" s="137"/>
      <c r="X762" s="137"/>
    </row>
    <row r="763" spans="16:24" s="136" customFormat="1" ht="16.3">
      <c r="P763" s="137"/>
      <c r="Q763" s="137"/>
      <c r="R763" s="137"/>
      <c r="S763" s="137"/>
      <c r="T763" s="137"/>
      <c r="U763" s="137"/>
      <c r="V763" s="137"/>
      <c r="W763" s="137"/>
      <c r="X763" s="137"/>
    </row>
    <row r="764" spans="16:24" s="136" customFormat="1" ht="16.3">
      <c r="P764" s="137"/>
      <c r="Q764" s="137"/>
      <c r="R764" s="137"/>
      <c r="S764" s="137"/>
      <c r="T764" s="137"/>
      <c r="U764" s="137"/>
      <c r="V764" s="137"/>
      <c r="W764" s="137"/>
      <c r="X764" s="137"/>
    </row>
    <row r="765" spans="16:24" s="136" customFormat="1" ht="16.3">
      <c r="P765" s="137"/>
      <c r="Q765" s="137"/>
      <c r="R765" s="137"/>
      <c r="S765" s="137"/>
      <c r="T765" s="137"/>
      <c r="U765" s="137"/>
      <c r="V765" s="137"/>
      <c r="W765" s="137"/>
      <c r="X765" s="137"/>
    </row>
    <row r="766" spans="16:24" s="136" customFormat="1" ht="16.3">
      <c r="P766" s="137"/>
      <c r="Q766" s="137"/>
      <c r="R766" s="137"/>
      <c r="S766" s="137"/>
      <c r="T766" s="137"/>
      <c r="U766" s="137"/>
      <c r="V766" s="137"/>
      <c r="W766" s="137"/>
      <c r="X766" s="137"/>
    </row>
    <row r="767" spans="16:24" s="136" customFormat="1" ht="16.3">
      <c r="P767" s="137"/>
      <c r="Q767" s="137"/>
      <c r="R767" s="137"/>
      <c r="S767" s="137"/>
      <c r="T767" s="137"/>
      <c r="U767" s="137"/>
      <c r="V767" s="137"/>
      <c r="W767" s="137"/>
      <c r="X767" s="137"/>
    </row>
    <row r="768" spans="16:24" s="136" customFormat="1" ht="16.3">
      <c r="P768" s="137"/>
      <c r="Q768" s="137"/>
      <c r="R768" s="137"/>
      <c r="S768" s="137"/>
      <c r="T768" s="137"/>
      <c r="U768" s="137"/>
      <c r="V768" s="137"/>
      <c r="W768" s="137"/>
      <c r="X768" s="137"/>
    </row>
    <row r="769" spans="16:24" s="136" customFormat="1" ht="16.3">
      <c r="P769" s="137"/>
      <c r="Q769" s="137"/>
      <c r="R769" s="137"/>
      <c r="S769" s="137"/>
      <c r="T769" s="137"/>
      <c r="U769" s="137"/>
      <c r="V769" s="137"/>
      <c r="W769" s="137"/>
      <c r="X769" s="137"/>
    </row>
    <row r="770" spans="16:24" s="136" customFormat="1" ht="16.3">
      <c r="P770" s="137"/>
      <c r="Q770" s="137"/>
      <c r="R770" s="137"/>
      <c r="S770" s="137"/>
      <c r="T770" s="137"/>
      <c r="U770" s="137"/>
      <c r="V770" s="137"/>
      <c r="W770" s="137"/>
      <c r="X770" s="137"/>
    </row>
    <row r="771" spans="16:24" s="136" customFormat="1" ht="16.3">
      <c r="P771" s="137"/>
      <c r="Q771" s="137"/>
      <c r="R771" s="137"/>
      <c r="S771" s="137"/>
      <c r="T771" s="137"/>
      <c r="U771" s="137"/>
      <c r="V771" s="137"/>
      <c r="W771" s="137"/>
      <c r="X771" s="137"/>
    </row>
    <row r="772" spans="16:24" s="136" customFormat="1" ht="16.3">
      <c r="P772" s="137"/>
      <c r="Q772" s="137"/>
      <c r="R772" s="137"/>
      <c r="S772" s="137"/>
      <c r="T772" s="137"/>
      <c r="U772" s="137"/>
      <c r="V772" s="137"/>
      <c r="W772" s="137"/>
      <c r="X772" s="137"/>
    </row>
    <row r="773" spans="16:24" s="136" customFormat="1" ht="16.3">
      <c r="P773" s="137"/>
      <c r="Q773" s="137"/>
      <c r="R773" s="137"/>
      <c r="S773" s="137"/>
      <c r="T773" s="137"/>
      <c r="U773" s="137"/>
      <c r="V773" s="137"/>
      <c r="W773" s="137"/>
      <c r="X773" s="137"/>
    </row>
    <row r="774" spans="16:24" ht="16.3">
      <c r="P774" s="3"/>
      <c r="Q774" s="3"/>
      <c r="R774" s="3"/>
      <c r="S774" s="3"/>
      <c r="T774" s="3"/>
      <c r="U774" s="3"/>
      <c r="V774" s="3"/>
      <c r="W774" s="3"/>
      <c r="X774" s="3"/>
    </row>
  </sheetData>
  <mergeCells count="21">
    <mergeCell ref="A14:M14"/>
    <mergeCell ref="X6:X13"/>
    <mergeCell ref="P10:P13"/>
    <mergeCell ref="Q10:Q13"/>
    <mergeCell ref="R10:R13"/>
    <mergeCell ref="S10:S13"/>
    <mergeCell ref="T10:T13"/>
    <mergeCell ref="U10:U13"/>
    <mergeCell ref="V10:V13"/>
    <mergeCell ref="P6:R9"/>
    <mergeCell ref="S6:U9"/>
    <mergeCell ref="V6:V9"/>
    <mergeCell ref="W6:W13"/>
    <mergeCell ref="A6:M13"/>
    <mergeCell ref="A2:Y2"/>
    <mergeCell ref="A1:Y1"/>
    <mergeCell ref="Y6:Y10"/>
    <mergeCell ref="Y11:Y13"/>
    <mergeCell ref="N6:N13"/>
    <mergeCell ref="O6:O13"/>
    <mergeCell ref="A3:Y3"/>
  </mergeCells>
  <pageMargins left="0.15" right="0.25" top="0.25" bottom="0.25" header="0.51180555555555596" footer="0.25"/>
  <pageSetup paperSize="5" scale="40" orientation="landscape" useFirstPageNumber="1" horizontalDpi="4294967294" verticalDpi="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413"/>
  <sheetViews>
    <sheetView topLeftCell="T342" zoomScale="67" zoomScaleNormal="67" zoomScalePageLayoutView="57" workbookViewId="0">
      <selection activeCell="X393" sqref="X393"/>
    </sheetView>
  </sheetViews>
  <sheetFormatPr defaultColWidth="9" defaultRowHeight="14.6"/>
  <cols>
    <col min="1" max="1" width="3.69140625" customWidth="1"/>
    <col min="2" max="2" width="6.23046875" customWidth="1"/>
    <col min="3" max="3" width="5.23046875" customWidth="1"/>
    <col min="4" max="4" width="3.69140625" customWidth="1"/>
    <col min="5" max="5" width="7.15234375" customWidth="1"/>
    <col min="6" max="6" width="4.23046875" customWidth="1"/>
    <col min="7" max="8" width="3.69140625" customWidth="1"/>
    <col min="9" max="9" width="4.23046875" customWidth="1"/>
    <col min="10" max="10" width="4.15234375" customWidth="1"/>
    <col min="11" max="11" width="5.53515625" customWidth="1"/>
    <col min="12" max="12" width="5.15234375" customWidth="1"/>
    <col min="13" max="13" width="3.69140625" customWidth="1"/>
    <col min="14" max="14" width="62.84375" customWidth="1"/>
    <col min="15" max="15" width="29.84375" customWidth="1"/>
    <col min="16" max="16" width="24.84375" customWidth="1"/>
    <col min="17" max="17" width="27" customWidth="1"/>
    <col min="18" max="18" width="24.53515625" customWidth="1"/>
    <col min="19" max="19" width="22.23046875" customWidth="1"/>
    <col min="20" max="20" width="18" customWidth="1"/>
    <col min="21" max="21" width="20.23046875" customWidth="1"/>
    <col min="22" max="22" width="26.69140625" customWidth="1"/>
    <col min="23" max="23" width="25.69140625" customWidth="1"/>
    <col min="24" max="24" width="26.69140625" customWidth="1"/>
    <col min="25" max="25" width="28" customWidth="1"/>
    <col min="26" max="26" width="25.23046875" customWidth="1"/>
    <col min="30" max="30" width="25.69140625" bestFit="1" customWidth="1"/>
    <col min="31" max="31" width="23.69140625" customWidth="1"/>
    <col min="33" max="33" width="21" bestFit="1" customWidth="1"/>
  </cols>
  <sheetData>
    <row r="1" spans="1:39" ht="36" customHeight="1">
      <c r="A1" s="533" t="s">
        <v>154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39" ht="36" customHeight="1">
      <c r="A2" s="533" t="s">
        <v>155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39" ht="36" customHeight="1">
      <c r="A3" s="533" t="s">
        <v>156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5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44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3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39" ht="25" customHeight="1">
      <c r="A6" s="571" t="s">
        <v>157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17" t="s">
        <v>158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3"/>
    </row>
    <row r="7" spans="1:39" ht="25" customHeight="1">
      <c r="A7" s="571" t="s">
        <v>159</v>
      </c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17" t="s">
        <v>237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3"/>
    </row>
    <row r="8" spans="1:39" ht="25" customHeight="1">
      <c r="A8" s="571" t="s">
        <v>160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17" t="s">
        <v>238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3"/>
    </row>
    <row r="9" spans="1:39" ht="25" customHeight="1">
      <c r="A9" s="571" t="s">
        <v>161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17" t="s">
        <v>239</v>
      </c>
      <c r="O9" s="3"/>
      <c r="P9" s="3"/>
      <c r="Q9" s="3"/>
      <c r="R9" s="3"/>
      <c r="S9" s="3"/>
      <c r="T9" s="3"/>
      <c r="U9" s="3"/>
      <c r="V9" s="3"/>
      <c r="W9" s="158"/>
      <c r="X9" s="3"/>
      <c r="Y9" s="3"/>
      <c r="Z9" s="3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3"/>
    </row>
    <row r="10" spans="1:39" ht="25" customHeight="1">
      <c r="A10" s="571" t="s">
        <v>162</v>
      </c>
      <c r="B10" s="571"/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17" t="s">
        <v>294</v>
      </c>
      <c r="O10" s="3"/>
      <c r="P10" s="3"/>
      <c r="Q10" s="3"/>
      <c r="R10" s="158"/>
      <c r="S10" s="3"/>
      <c r="T10" s="3"/>
      <c r="U10" s="158"/>
      <c r="V10" s="158"/>
      <c r="W10" s="3"/>
      <c r="X10" s="3"/>
      <c r="Y10" s="3"/>
      <c r="Z10" s="3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3"/>
    </row>
    <row r="11" spans="1:39" ht="16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58"/>
      <c r="S11" s="3"/>
      <c r="T11" s="3"/>
      <c r="U11" s="3"/>
      <c r="V11" s="3"/>
      <c r="W11" s="3"/>
      <c r="X11" s="3"/>
      <c r="Y11" s="3"/>
      <c r="Z11" s="3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3"/>
    </row>
    <row r="12" spans="1:39" s="240" customFormat="1" ht="15" customHeight="1">
      <c r="A12" s="582" t="s">
        <v>0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 t="s">
        <v>1</v>
      </c>
      <c r="O12" s="582" t="s">
        <v>2</v>
      </c>
      <c r="P12" s="582" t="s">
        <v>163</v>
      </c>
      <c r="Q12" s="582"/>
      <c r="R12" s="582"/>
      <c r="S12" s="587" t="s">
        <v>277</v>
      </c>
      <c r="T12" s="588"/>
      <c r="U12" s="589"/>
      <c r="V12" s="596" t="s">
        <v>164</v>
      </c>
      <c r="W12" s="596"/>
      <c r="X12" s="596"/>
      <c r="Y12" s="584" t="s">
        <v>165</v>
      </c>
      <c r="Z12" s="584" t="s">
        <v>166</v>
      </c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</row>
    <row r="13" spans="1:39" s="240" customFormat="1" ht="15" customHeight="1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90"/>
      <c r="T13" s="591"/>
      <c r="U13" s="592"/>
      <c r="V13" s="596"/>
      <c r="W13" s="596"/>
      <c r="X13" s="596"/>
      <c r="Y13" s="585"/>
      <c r="Z13" s="585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</row>
    <row r="14" spans="1:39" s="240" customFormat="1" ht="15" customHeight="1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90"/>
      <c r="T14" s="591"/>
      <c r="U14" s="592"/>
      <c r="V14" s="596"/>
      <c r="W14" s="596"/>
      <c r="X14" s="596"/>
      <c r="Y14" s="585"/>
      <c r="Z14" s="58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</row>
    <row r="15" spans="1:39" s="240" customFormat="1" ht="15" customHeight="1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93"/>
      <c r="T15" s="594"/>
      <c r="U15" s="595"/>
      <c r="V15" s="596"/>
      <c r="W15" s="596"/>
      <c r="X15" s="596"/>
      <c r="Y15" s="585"/>
      <c r="Z15" s="585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</row>
    <row r="16" spans="1:39" s="240" customFormat="1" ht="15" customHeight="1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3" t="s">
        <v>7</v>
      </c>
      <c r="Q16" s="582" t="s">
        <v>8</v>
      </c>
      <c r="R16" s="583" t="s">
        <v>9</v>
      </c>
      <c r="S16" s="583" t="s">
        <v>7</v>
      </c>
      <c r="T16" s="582" t="s">
        <v>8</v>
      </c>
      <c r="U16" s="583" t="s">
        <v>9</v>
      </c>
      <c r="V16" s="583" t="s">
        <v>7</v>
      </c>
      <c r="W16" s="582" t="s">
        <v>8</v>
      </c>
      <c r="X16" s="583" t="s">
        <v>9</v>
      </c>
      <c r="Y16" s="585"/>
      <c r="Z16" s="585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</row>
    <row r="17" spans="1:38" s="240" customFormat="1" ht="15" customHeight="1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3"/>
      <c r="Q17" s="582"/>
      <c r="R17" s="583"/>
      <c r="S17" s="583"/>
      <c r="T17" s="582"/>
      <c r="U17" s="583"/>
      <c r="V17" s="583"/>
      <c r="W17" s="582"/>
      <c r="X17" s="583"/>
      <c r="Y17" s="585"/>
      <c r="Z17" s="585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</row>
    <row r="18" spans="1:38" s="240" customFormat="1" ht="15" customHeight="1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3"/>
      <c r="Q18" s="582"/>
      <c r="R18" s="583"/>
      <c r="S18" s="583"/>
      <c r="T18" s="582"/>
      <c r="U18" s="583"/>
      <c r="V18" s="583"/>
      <c r="W18" s="582"/>
      <c r="X18" s="583"/>
      <c r="Y18" s="585"/>
      <c r="Z18" s="585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</row>
    <row r="19" spans="1:38" s="240" customFormat="1" ht="15.75" customHeight="1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2"/>
      <c r="P19" s="583"/>
      <c r="Q19" s="582"/>
      <c r="R19" s="583"/>
      <c r="S19" s="583"/>
      <c r="T19" s="582"/>
      <c r="U19" s="583"/>
      <c r="V19" s="583"/>
      <c r="W19" s="582"/>
      <c r="X19" s="583"/>
      <c r="Y19" s="586"/>
      <c r="Z19" s="586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</row>
    <row r="20" spans="1:38" s="240" customFormat="1" ht="21.75" customHeight="1">
      <c r="A20" s="578" t="s">
        <v>10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241"/>
      <c r="O20" s="241" t="s">
        <v>86</v>
      </c>
      <c r="P20" s="241" t="s">
        <v>11</v>
      </c>
      <c r="Q20" s="241" t="s">
        <v>12</v>
      </c>
      <c r="R20" s="241" t="s">
        <v>13</v>
      </c>
      <c r="S20" s="241" t="s">
        <v>14</v>
      </c>
      <c r="T20" s="241" t="s">
        <v>15</v>
      </c>
      <c r="U20" s="241" t="s">
        <v>16</v>
      </c>
      <c r="V20" s="241" t="s">
        <v>167</v>
      </c>
      <c r="W20" s="241" t="s">
        <v>43</v>
      </c>
      <c r="X20" s="241" t="s">
        <v>168</v>
      </c>
      <c r="Y20" s="241" t="s">
        <v>169</v>
      </c>
      <c r="Z20" s="241" t="s">
        <v>170</v>
      </c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</row>
    <row r="21" spans="1:38" s="240" customFormat="1" ht="35.25" customHeight="1">
      <c r="A21" s="242" t="s">
        <v>14</v>
      </c>
      <c r="B21" s="243" t="s">
        <v>19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5"/>
      <c r="N21" s="246" t="s">
        <v>20</v>
      </c>
      <c r="O21" s="247">
        <f>O23+O156+O213+O280+O295</f>
        <v>19003336695</v>
      </c>
      <c r="P21" s="247">
        <f>P23+P156+P213+P280+P295</f>
        <v>8580075771</v>
      </c>
      <c r="Q21" s="247">
        <f>Q23+Q156+Q213+Q280+Q295</f>
        <v>1072563186</v>
      </c>
      <c r="R21" s="248">
        <f>P21+Q21</f>
        <v>9652638957</v>
      </c>
      <c r="S21" s="248">
        <f>S23+S156+S213+S280+S295</f>
        <v>67320000</v>
      </c>
      <c r="T21" s="248">
        <f>T23+T156+T213+T280+T295</f>
        <v>0</v>
      </c>
      <c r="U21" s="248">
        <f>S21+T21</f>
        <v>67320000</v>
      </c>
      <c r="V21" s="247">
        <f>V23+V156+V213+V280+V295</f>
        <v>7108781753</v>
      </c>
      <c r="W21" s="247">
        <f>W23+W156+W213+W280+W295</f>
        <v>1475715545</v>
      </c>
      <c r="X21" s="248">
        <f>V21+W21</f>
        <v>8584497298</v>
      </c>
      <c r="Y21" s="248">
        <f>R21+U21+X21</f>
        <v>18304456255</v>
      </c>
      <c r="Z21" s="247">
        <f>O21-Y21</f>
        <v>698880440</v>
      </c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</row>
    <row r="22" spans="1:38" s="240" customFormat="1" ht="15.75" customHeight="1">
      <c r="A22" s="249"/>
      <c r="B22" s="250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2"/>
      <c r="N22" s="253"/>
      <c r="O22" s="253"/>
      <c r="P22" s="254"/>
      <c r="Q22" s="254"/>
      <c r="R22" s="255"/>
      <c r="S22" s="254"/>
      <c r="T22" s="254"/>
      <c r="U22" s="255"/>
      <c r="V22" s="254"/>
      <c r="W22" s="254"/>
      <c r="X22" s="255"/>
      <c r="Y22" s="255"/>
      <c r="Z22" s="256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</row>
    <row r="23" spans="1:38" s="268" customFormat="1" ht="50.5" customHeight="1">
      <c r="A23" s="257">
        <v>7</v>
      </c>
      <c r="B23" s="258" t="s">
        <v>19</v>
      </c>
      <c r="C23" s="258" t="s">
        <v>19</v>
      </c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 t="s">
        <v>21</v>
      </c>
      <c r="O23" s="262">
        <f>O25+O44+O81+O94+O121</f>
        <v>11955260795</v>
      </c>
      <c r="P23" s="262">
        <f t="shared" ref="P23:Q23" si="0">P25+P44+P81+P94+P121</f>
        <v>8580075771</v>
      </c>
      <c r="Q23" s="262">
        <f t="shared" si="0"/>
        <v>1072563186</v>
      </c>
      <c r="R23" s="263">
        <f>P23+Q23</f>
        <v>9652638957</v>
      </c>
      <c r="S23" s="263">
        <f>S25+S44+S81+S94+S121</f>
        <v>67320000</v>
      </c>
      <c r="T23" s="263">
        <f>T25+T44+T81+T94+T121</f>
        <v>0</v>
      </c>
      <c r="U23" s="263">
        <f>S23+T23</f>
        <v>67320000</v>
      </c>
      <c r="V23" s="264">
        <f>V25+V44+V81+V94+V121</f>
        <v>1536802012</v>
      </c>
      <c r="W23" s="264">
        <f>W25+W44+W81+W94+W121</f>
        <v>277776555</v>
      </c>
      <c r="X23" s="263">
        <f>V23+W23</f>
        <v>1814578567</v>
      </c>
      <c r="Y23" s="265">
        <f>R23+U23+X23</f>
        <v>11534537524</v>
      </c>
      <c r="Z23" s="266">
        <f>O23-Y23</f>
        <v>420723271</v>
      </c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</row>
    <row r="24" spans="1:38" s="278" customFormat="1" ht="14.25" customHeight="1">
      <c r="A24" s="269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1"/>
      <c r="N24" s="272"/>
      <c r="O24" s="273"/>
      <c r="P24" s="274"/>
      <c r="Q24" s="274"/>
      <c r="R24" s="274"/>
      <c r="S24" s="274"/>
      <c r="T24" s="274"/>
      <c r="U24" s="274"/>
      <c r="V24" s="274"/>
      <c r="W24" s="274"/>
      <c r="X24" s="274"/>
      <c r="Y24" s="275"/>
      <c r="Z24" s="276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</row>
    <row r="25" spans="1:38" s="268" customFormat="1" ht="45.75" customHeight="1">
      <c r="A25" s="279">
        <v>7</v>
      </c>
      <c r="B25" s="280" t="s">
        <v>19</v>
      </c>
      <c r="C25" s="280" t="s">
        <v>19</v>
      </c>
      <c r="D25" s="281">
        <v>2</v>
      </c>
      <c r="E25" s="280" t="s">
        <v>22</v>
      </c>
      <c r="F25" s="281"/>
      <c r="G25" s="281"/>
      <c r="H25" s="281"/>
      <c r="I25" s="281"/>
      <c r="J25" s="281"/>
      <c r="K25" s="281"/>
      <c r="L25" s="281"/>
      <c r="M25" s="282"/>
      <c r="N25" s="283" t="s">
        <v>23</v>
      </c>
      <c r="O25" s="284">
        <f>O27</f>
        <v>9852691312</v>
      </c>
      <c r="P25" s="285">
        <f>P27</f>
        <v>8580075771</v>
      </c>
      <c r="Q25" s="285">
        <f>Q27</f>
        <v>1072563186</v>
      </c>
      <c r="R25" s="285">
        <f>P25+Q25</f>
        <v>9652638957</v>
      </c>
      <c r="S25" s="285">
        <f>S27</f>
        <v>0</v>
      </c>
      <c r="T25" s="285">
        <f>T27</f>
        <v>0</v>
      </c>
      <c r="U25" s="285">
        <f>S25+T25</f>
        <v>0</v>
      </c>
      <c r="V25" s="285">
        <f>V27</f>
        <v>0</v>
      </c>
      <c r="W25" s="285">
        <f>W27</f>
        <v>0</v>
      </c>
      <c r="X25" s="285">
        <f>V25+W25</f>
        <v>0</v>
      </c>
      <c r="Y25" s="286">
        <f>R25+U25+X25</f>
        <v>9652638957</v>
      </c>
      <c r="Z25" s="287">
        <f>O25-Y25</f>
        <v>200052355</v>
      </c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</row>
    <row r="26" spans="1:38" s="278" customFormat="1" ht="12.75" customHeight="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90"/>
      <c r="N26" s="291"/>
      <c r="O26" s="292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4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</row>
    <row r="27" spans="1:38" s="268" customFormat="1" ht="31.2" customHeight="1">
      <c r="A27" s="295">
        <v>7</v>
      </c>
      <c r="B27" s="296" t="s">
        <v>19</v>
      </c>
      <c r="C27" s="296" t="s">
        <v>19</v>
      </c>
      <c r="D27" s="297">
        <v>2</v>
      </c>
      <c r="E27" s="296" t="s">
        <v>22</v>
      </c>
      <c r="F27" s="296" t="s">
        <v>19</v>
      </c>
      <c r="G27" s="297"/>
      <c r="H27" s="297"/>
      <c r="I27" s="297"/>
      <c r="J27" s="297"/>
      <c r="K27" s="297"/>
      <c r="L27" s="297"/>
      <c r="M27" s="298"/>
      <c r="N27" s="299" t="s">
        <v>24</v>
      </c>
      <c r="O27" s="300">
        <f>O28</f>
        <v>9852691312</v>
      </c>
      <c r="P27" s="301">
        <f>P28</f>
        <v>8580075771</v>
      </c>
      <c r="Q27" s="301">
        <f>Q28</f>
        <v>1072563186</v>
      </c>
      <c r="R27" s="301">
        <f>P27+Q27</f>
        <v>9652638957</v>
      </c>
      <c r="S27" s="301">
        <f>S28</f>
        <v>0</v>
      </c>
      <c r="T27" s="301">
        <f>T28</f>
        <v>0</v>
      </c>
      <c r="U27" s="301">
        <f t="shared" ref="U27:U42" si="1">S27+T27</f>
        <v>0</v>
      </c>
      <c r="V27" s="301">
        <f>V28</f>
        <v>0</v>
      </c>
      <c r="W27" s="301">
        <f>W28</f>
        <v>0</v>
      </c>
      <c r="X27" s="301">
        <f t="shared" ref="X27:X42" si="2">V27+W27</f>
        <v>0</v>
      </c>
      <c r="Y27" s="301">
        <f>R27+U27+X27</f>
        <v>9652638957</v>
      </c>
      <c r="Z27" s="300">
        <f>O27-Y27</f>
        <v>200052355</v>
      </c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</row>
    <row r="28" spans="1:38" s="278" customFormat="1" ht="31.2" customHeight="1">
      <c r="A28" s="288">
        <v>7</v>
      </c>
      <c r="B28" s="302" t="s">
        <v>19</v>
      </c>
      <c r="C28" s="302" t="s">
        <v>19</v>
      </c>
      <c r="D28" s="289">
        <v>2</v>
      </c>
      <c r="E28" s="302" t="s">
        <v>22</v>
      </c>
      <c r="F28" s="302" t="s">
        <v>19</v>
      </c>
      <c r="G28" s="302" t="s">
        <v>12</v>
      </c>
      <c r="H28" s="302" t="s">
        <v>10</v>
      </c>
      <c r="I28" s="289"/>
      <c r="J28" s="289"/>
      <c r="K28" s="289"/>
      <c r="L28" s="289"/>
      <c r="M28" s="290"/>
      <c r="N28" s="291" t="s">
        <v>25</v>
      </c>
      <c r="O28" s="292">
        <f>O29+O40</f>
        <v>9852691312</v>
      </c>
      <c r="P28" s="303">
        <f>P29+P40</f>
        <v>8580075771</v>
      </c>
      <c r="Q28" s="303">
        <f>Q29+Q40</f>
        <v>1072563186</v>
      </c>
      <c r="R28" s="304">
        <f>P28+Q28</f>
        <v>9652638957</v>
      </c>
      <c r="S28" s="303">
        <f>S29+S40</f>
        <v>0</v>
      </c>
      <c r="T28" s="303">
        <f>T29+T40</f>
        <v>0</v>
      </c>
      <c r="U28" s="304">
        <f t="shared" si="1"/>
        <v>0</v>
      </c>
      <c r="V28" s="303">
        <f>V29+V40</f>
        <v>0</v>
      </c>
      <c r="W28" s="303">
        <f>W29+W40</f>
        <v>0</v>
      </c>
      <c r="X28" s="304">
        <f t="shared" si="2"/>
        <v>0</v>
      </c>
      <c r="Y28" s="303">
        <f>R28+U28+X28</f>
        <v>9652638957</v>
      </c>
      <c r="Z28" s="292">
        <f>O28-Y28</f>
        <v>200052355</v>
      </c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</row>
    <row r="29" spans="1:38" s="278" customFormat="1" ht="31.2" customHeight="1">
      <c r="A29" s="288">
        <v>7</v>
      </c>
      <c r="B29" s="302" t="s">
        <v>19</v>
      </c>
      <c r="C29" s="302" t="s">
        <v>19</v>
      </c>
      <c r="D29" s="289">
        <v>2</v>
      </c>
      <c r="E29" s="302" t="s">
        <v>22</v>
      </c>
      <c r="F29" s="302" t="s">
        <v>19</v>
      </c>
      <c r="G29" s="302" t="s">
        <v>12</v>
      </c>
      <c r="H29" s="302" t="s">
        <v>10</v>
      </c>
      <c r="I29" s="302" t="s">
        <v>19</v>
      </c>
      <c r="J29" s="302" t="s">
        <v>19</v>
      </c>
      <c r="K29" s="289"/>
      <c r="L29" s="289"/>
      <c r="M29" s="290"/>
      <c r="N29" s="291" t="s">
        <v>26</v>
      </c>
      <c r="O29" s="292">
        <f>SUM(O30:O39)</f>
        <v>5322691312</v>
      </c>
      <c r="P29" s="303">
        <f>SUM(P30:P39)</f>
        <v>4822167331</v>
      </c>
      <c r="Q29" s="303">
        <f>SUM(Q30:Q39)</f>
        <v>396314451</v>
      </c>
      <c r="R29" s="304">
        <f>P29+Q29</f>
        <v>5218481782</v>
      </c>
      <c r="S29" s="303">
        <f>SUM(S30:S39)</f>
        <v>0</v>
      </c>
      <c r="T29" s="303">
        <f>SUM(T30:T39)</f>
        <v>0</v>
      </c>
      <c r="U29" s="304">
        <f t="shared" si="1"/>
        <v>0</v>
      </c>
      <c r="V29" s="303">
        <f>SUM(V30:V39)</f>
        <v>0</v>
      </c>
      <c r="W29" s="303">
        <f>SUM(W30:W39)</f>
        <v>0</v>
      </c>
      <c r="X29" s="304">
        <f t="shared" si="2"/>
        <v>0</v>
      </c>
      <c r="Y29" s="303">
        <f t="shared" ref="Y29:Y42" si="3">R29+U29+X29</f>
        <v>5218481782</v>
      </c>
      <c r="Z29" s="292">
        <f t="shared" ref="Z29:Z42" si="4">O29-Y29</f>
        <v>104209530</v>
      </c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</row>
    <row r="30" spans="1:38" s="268" customFormat="1" ht="31.2" customHeight="1">
      <c r="A30" s="305">
        <v>7</v>
      </c>
      <c r="B30" s="306" t="s">
        <v>19</v>
      </c>
      <c r="C30" s="306" t="s">
        <v>19</v>
      </c>
      <c r="D30" s="307">
        <v>2</v>
      </c>
      <c r="E30" s="306" t="s">
        <v>22</v>
      </c>
      <c r="F30" s="306" t="s">
        <v>19</v>
      </c>
      <c r="G30" s="307">
        <v>5</v>
      </c>
      <c r="H30" s="307">
        <v>1</v>
      </c>
      <c r="I30" s="306" t="s">
        <v>19</v>
      </c>
      <c r="J30" s="306" t="s">
        <v>19</v>
      </c>
      <c r="K30" s="306" t="s">
        <v>19</v>
      </c>
      <c r="L30" s="306" t="s">
        <v>27</v>
      </c>
      <c r="M30" s="308">
        <v>1</v>
      </c>
      <c r="N30" s="309" t="s">
        <v>28</v>
      </c>
      <c r="O30" s="310">
        <v>3890000000</v>
      </c>
      <c r="P30" s="311">
        <f>'[1]SPJ FUNGSIONAL '!$R$30</f>
        <v>3580556900</v>
      </c>
      <c r="Q30" s="311">
        <f>270236400+3591200+7576585</f>
        <v>281404185</v>
      </c>
      <c r="R30" s="311">
        <f>P30+Q30</f>
        <v>3861961085</v>
      </c>
      <c r="S30" s="311"/>
      <c r="T30" s="311"/>
      <c r="U30" s="311">
        <f t="shared" si="1"/>
        <v>0</v>
      </c>
      <c r="V30" s="311"/>
      <c r="W30" s="311"/>
      <c r="X30" s="311">
        <f t="shared" si="2"/>
        <v>0</v>
      </c>
      <c r="Y30" s="293">
        <f t="shared" si="3"/>
        <v>3861961085</v>
      </c>
      <c r="Z30" s="312">
        <f t="shared" si="4"/>
        <v>28038915</v>
      </c>
      <c r="AA30" s="267"/>
      <c r="AB30" s="267"/>
      <c r="AC30" s="267"/>
      <c r="AD30" s="267"/>
      <c r="AE30" s="313">
        <f>'LRA SP2D'!U15</f>
        <v>18304456255</v>
      </c>
      <c r="AF30" s="267"/>
      <c r="AG30" s="267"/>
      <c r="AH30" s="267"/>
      <c r="AI30" s="267"/>
      <c r="AJ30" s="267"/>
      <c r="AK30" s="267"/>
      <c r="AL30" s="267"/>
    </row>
    <row r="31" spans="1:38" s="268" customFormat="1" ht="31.2" customHeight="1">
      <c r="A31" s="305">
        <v>7</v>
      </c>
      <c r="B31" s="306" t="s">
        <v>19</v>
      </c>
      <c r="C31" s="306" t="s">
        <v>19</v>
      </c>
      <c r="D31" s="307">
        <v>2</v>
      </c>
      <c r="E31" s="306" t="s">
        <v>22</v>
      </c>
      <c r="F31" s="306" t="s">
        <v>19</v>
      </c>
      <c r="G31" s="307">
        <v>5</v>
      </c>
      <c r="H31" s="307">
        <v>1</v>
      </c>
      <c r="I31" s="306" t="s">
        <v>19</v>
      </c>
      <c r="J31" s="306" t="s">
        <v>19</v>
      </c>
      <c r="K31" s="306" t="s">
        <v>22</v>
      </c>
      <c r="L31" s="306" t="s">
        <v>27</v>
      </c>
      <c r="M31" s="308">
        <v>1</v>
      </c>
      <c r="N31" s="490" t="s">
        <v>29</v>
      </c>
      <c r="O31" s="493">
        <v>380000000</v>
      </c>
      <c r="P31" s="492">
        <f>'[1]SPJ FUNGSIONAL '!$R$31</f>
        <v>333715534</v>
      </c>
      <c r="Q31" s="492">
        <f>SUM(25742044+430944+600166)-521883</f>
        <v>26251271</v>
      </c>
      <c r="R31" s="492">
        <f t="shared" ref="R31:R42" si="5">P31+Q31</f>
        <v>359966805</v>
      </c>
      <c r="S31" s="492"/>
      <c r="T31" s="492"/>
      <c r="U31" s="492">
        <f t="shared" si="1"/>
        <v>0</v>
      </c>
      <c r="V31" s="492"/>
      <c r="W31" s="492"/>
      <c r="X31" s="492">
        <f t="shared" si="2"/>
        <v>0</v>
      </c>
      <c r="Y31" s="492">
        <f t="shared" si="3"/>
        <v>359966805</v>
      </c>
      <c r="Z31" s="491">
        <f t="shared" si="4"/>
        <v>20033195</v>
      </c>
      <c r="AA31" s="267"/>
      <c r="AB31" s="267"/>
      <c r="AC31" s="267"/>
      <c r="AD31" s="267"/>
      <c r="AE31" s="313">
        <f>Y21</f>
        <v>18304456255</v>
      </c>
      <c r="AF31" s="267"/>
      <c r="AG31" s="267"/>
      <c r="AH31" s="267"/>
      <c r="AI31" s="267"/>
      <c r="AJ31" s="267"/>
      <c r="AK31" s="267"/>
      <c r="AL31" s="267"/>
    </row>
    <row r="32" spans="1:38" s="268" customFormat="1" ht="31.2" customHeight="1">
      <c r="A32" s="305">
        <v>7</v>
      </c>
      <c r="B32" s="306" t="s">
        <v>19</v>
      </c>
      <c r="C32" s="306" t="s">
        <v>19</v>
      </c>
      <c r="D32" s="307">
        <v>2</v>
      </c>
      <c r="E32" s="306" t="s">
        <v>22</v>
      </c>
      <c r="F32" s="306" t="s">
        <v>19</v>
      </c>
      <c r="G32" s="307">
        <v>5</v>
      </c>
      <c r="H32" s="307">
        <v>1</v>
      </c>
      <c r="I32" s="306" t="s">
        <v>19</v>
      </c>
      <c r="J32" s="306" t="s">
        <v>19</v>
      </c>
      <c r="K32" s="314" t="s">
        <v>30</v>
      </c>
      <c r="L32" s="306" t="s">
        <v>27</v>
      </c>
      <c r="M32" s="308">
        <v>1</v>
      </c>
      <c r="N32" s="294" t="s">
        <v>31</v>
      </c>
      <c r="O32" s="312">
        <v>352651600</v>
      </c>
      <c r="P32" s="293">
        <f>'[1]SPJ FUNGSIONAL '!$R$32</f>
        <v>316030000</v>
      </c>
      <c r="Q32" s="293">
        <f>24450000</f>
        <v>24450000</v>
      </c>
      <c r="R32" s="293">
        <f t="shared" si="5"/>
        <v>340480000</v>
      </c>
      <c r="S32" s="293"/>
      <c r="T32" s="293"/>
      <c r="U32" s="293">
        <f t="shared" si="1"/>
        <v>0</v>
      </c>
      <c r="V32" s="293"/>
      <c r="W32" s="293"/>
      <c r="X32" s="293">
        <f t="shared" si="2"/>
        <v>0</v>
      </c>
      <c r="Y32" s="293">
        <f t="shared" si="3"/>
        <v>340480000</v>
      </c>
      <c r="Z32" s="312">
        <f t="shared" si="4"/>
        <v>12171600</v>
      </c>
      <c r="AA32" s="267"/>
      <c r="AB32" s="267"/>
      <c r="AC32" s="267"/>
      <c r="AD32" s="267"/>
      <c r="AE32" s="313">
        <f>AE30-AE31</f>
        <v>0</v>
      </c>
      <c r="AF32" s="267"/>
      <c r="AG32" s="267"/>
      <c r="AH32" s="267"/>
      <c r="AI32" s="267"/>
      <c r="AJ32" s="267"/>
      <c r="AK32" s="267"/>
      <c r="AL32" s="267"/>
    </row>
    <row r="33" spans="1:38" s="268" customFormat="1" ht="31.2" customHeight="1">
      <c r="A33" s="305">
        <v>7</v>
      </c>
      <c r="B33" s="306" t="s">
        <v>19</v>
      </c>
      <c r="C33" s="306" t="s">
        <v>19</v>
      </c>
      <c r="D33" s="307">
        <v>2</v>
      </c>
      <c r="E33" s="306" t="s">
        <v>22</v>
      </c>
      <c r="F33" s="306" t="s">
        <v>19</v>
      </c>
      <c r="G33" s="307">
        <v>5</v>
      </c>
      <c r="H33" s="307">
        <v>1</v>
      </c>
      <c r="I33" s="306" t="s">
        <v>19</v>
      </c>
      <c r="J33" s="306" t="s">
        <v>19</v>
      </c>
      <c r="K33" s="314" t="s">
        <v>32</v>
      </c>
      <c r="L33" s="306" t="s">
        <v>27</v>
      </c>
      <c r="M33" s="308">
        <v>1</v>
      </c>
      <c r="N33" s="294" t="s">
        <v>33</v>
      </c>
      <c r="O33" s="312">
        <v>80000000</v>
      </c>
      <c r="P33" s="293">
        <f>'[1]SPJ FUNGSIONAL '!$R$33</f>
        <v>72190000</v>
      </c>
      <c r="Q33" s="293">
        <f>5110000+185000+40000</f>
        <v>5335000</v>
      </c>
      <c r="R33" s="293">
        <f t="shared" si="5"/>
        <v>77525000</v>
      </c>
      <c r="S33" s="293"/>
      <c r="T33" s="293"/>
      <c r="U33" s="293">
        <f t="shared" si="1"/>
        <v>0</v>
      </c>
      <c r="V33" s="293"/>
      <c r="W33" s="293"/>
      <c r="X33" s="293">
        <f t="shared" si="2"/>
        <v>0</v>
      </c>
      <c r="Y33" s="293">
        <f t="shared" si="3"/>
        <v>77525000</v>
      </c>
      <c r="Z33" s="312">
        <f t="shared" si="4"/>
        <v>2475000</v>
      </c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31.2" customHeight="1">
      <c r="A34" s="305">
        <v>7</v>
      </c>
      <c r="B34" s="306" t="s">
        <v>19</v>
      </c>
      <c r="C34" s="306" t="s">
        <v>19</v>
      </c>
      <c r="D34" s="307">
        <v>2</v>
      </c>
      <c r="E34" s="306" t="s">
        <v>22</v>
      </c>
      <c r="F34" s="306" t="s">
        <v>19</v>
      </c>
      <c r="G34" s="307">
        <v>5</v>
      </c>
      <c r="H34" s="307">
        <v>1</v>
      </c>
      <c r="I34" s="306" t="s">
        <v>19</v>
      </c>
      <c r="J34" s="306" t="s">
        <v>19</v>
      </c>
      <c r="K34" s="314" t="s">
        <v>34</v>
      </c>
      <c r="L34" s="306" t="s">
        <v>27</v>
      </c>
      <c r="M34" s="308">
        <v>1</v>
      </c>
      <c r="N34" s="490" t="s">
        <v>35</v>
      </c>
      <c r="O34" s="491">
        <v>235000000</v>
      </c>
      <c r="P34" s="492">
        <f>'[1]SPJ FUNGSIONAL '!$R$34</f>
        <v>207719872</v>
      </c>
      <c r="Q34" s="492">
        <f>SUM(15787560+217260+0)-106216</f>
        <v>15898604</v>
      </c>
      <c r="R34" s="492">
        <f t="shared" si="5"/>
        <v>223618476</v>
      </c>
      <c r="S34" s="492"/>
      <c r="T34" s="492"/>
      <c r="U34" s="492">
        <f t="shared" si="1"/>
        <v>0</v>
      </c>
      <c r="V34" s="492"/>
      <c r="W34" s="492"/>
      <c r="X34" s="492">
        <f t="shared" si="2"/>
        <v>0</v>
      </c>
      <c r="Y34" s="492">
        <f t="shared" si="3"/>
        <v>223618476</v>
      </c>
      <c r="Z34" s="491">
        <f t="shared" si="4"/>
        <v>11381524</v>
      </c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31.2" customHeight="1">
      <c r="A35" s="305">
        <v>7</v>
      </c>
      <c r="B35" s="306" t="s">
        <v>19</v>
      </c>
      <c r="C35" s="306" t="s">
        <v>19</v>
      </c>
      <c r="D35" s="307">
        <v>2</v>
      </c>
      <c r="E35" s="306" t="s">
        <v>22</v>
      </c>
      <c r="F35" s="306" t="s">
        <v>19</v>
      </c>
      <c r="G35" s="307">
        <v>5</v>
      </c>
      <c r="H35" s="307">
        <v>1</v>
      </c>
      <c r="I35" s="306" t="s">
        <v>19</v>
      </c>
      <c r="J35" s="306" t="s">
        <v>19</v>
      </c>
      <c r="K35" s="314" t="s">
        <v>36</v>
      </c>
      <c r="L35" s="306" t="s">
        <v>27</v>
      </c>
      <c r="M35" s="308">
        <v>1</v>
      </c>
      <c r="N35" s="309" t="s">
        <v>37</v>
      </c>
      <c r="O35" s="310">
        <v>3000000</v>
      </c>
      <c r="P35" s="311">
        <f>'[1]SPJ FUNGSIONAL '!$R$35</f>
        <v>1412803</v>
      </c>
      <c r="Q35" s="311">
        <f>94271+97500</f>
        <v>191771</v>
      </c>
      <c r="R35" s="311">
        <f t="shared" si="5"/>
        <v>1604574</v>
      </c>
      <c r="S35" s="311"/>
      <c r="T35" s="311"/>
      <c r="U35" s="311">
        <f t="shared" si="1"/>
        <v>0</v>
      </c>
      <c r="V35" s="311"/>
      <c r="W35" s="311"/>
      <c r="X35" s="311">
        <f t="shared" si="2"/>
        <v>0</v>
      </c>
      <c r="Y35" s="293">
        <f t="shared" si="3"/>
        <v>1604574</v>
      </c>
      <c r="Z35" s="312">
        <f t="shared" si="4"/>
        <v>1395426</v>
      </c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31.2" customHeight="1">
      <c r="A36" s="305">
        <v>7</v>
      </c>
      <c r="B36" s="306" t="s">
        <v>19</v>
      </c>
      <c r="C36" s="306" t="s">
        <v>19</v>
      </c>
      <c r="D36" s="307">
        <v>2</v>
      </c>
      <c r="E36" s="306" t="s">
        <v>22</v>
      </c>
      <c r="F36" s="306" t="s">
        <v>19</v>
      </c>
      <c r="G36" s="307">
        <v>5</v>
      </c>
      <c r="H36" s="307">
        <v>1</v>
      </c>
      <c r="I36" s="306" t="s">
        <v>19</v>
      </c>
      <c r="J36" s="306" t="s">
        <v>19</v>
      </c>
      <c r="K36" s="314" t="s">
        <v>38</v>
      </c>
      <c r="L36" s="306" t="s">
        <v>27</v>
      </c>
      <c r="M36" s="308">
        <v>1</v>
      </c>
      <c r="N36" s="309" t="s">
        <v>39</v>
      </c>
      <c r="O36" s="310">
        <v>60000</v>
      </c>
      <c r="P36" s="311">
        <f>'[1]SPJ FUNGSIONAL '!$R$36</f>
        <v>49093</v>
      </c>
      <c r="Q36" s="311">
        <f>3559+67+939-684</f>
        <v>3881</v>
      </c>
      <c r="R36" s="311">
        <f t="shared" si="5"/>
        <v>52974</v>
      </c>
      <c r="S36" s="311"/>
      <c r="T36" s="311"/>
      <c r="U36" s="311">
        <f t="shared" si="1"/>
        <v>0</v>
      </c>
      <c r="V36" s="311"/>
      <c r="W36" s="311"/>
      <c r="X36" s="311">
        <f t="shared" si="2"/>
        <v>0</v>
      </c>
      <c r="Y36" s="293">
        <f t="shared" si="3"/>
        <v>52974</v>
      </c>
      <c r="Z36" s="312">
        <f t="shared" si="4"/>
        <v>7026</v>
      </c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31.2" customHeight="1">
      <c r="A37" s="305">
        <v>7</v>
      </c>
      <c r="B37" s="306" t="s">
        <v>19</v>
      </c>
      <c r="C37" s="306" t="s">
        <v>19</v>
      </c>
      <c r="D37" s="307">
        <v>2</v>
      </c>
      <c r="E37" s="306" t="s">
        <v>22</v>
      </c>
      <c r="F37" s="306" t="s">
        <v>19</v>
      </c>
      <c r="G37" s="307">
        <v>5</v>
      </c>
      <c r="H37" s="307">
        <v>1</v>
      </c>
      <c r="I37" s="306" t="s">
        <v>19</v>
      </c>
      <c r="J37" s="306" t="s">
        <v>19</v>
      </c>
      <c r="K37" s="314" t="s">
        <v>40</v>
      </c>
      <c r="L37" s="306" t="s">
        <v>27</v>
      </c>
      <c r="M37" s="308">
        <v>1</v>
      </c>
      <c r="N37" s="309" t="s">
        <v>41</v>
      </c>
      <c r="O37" s="310">
        <v>345000000</v>
      </c>
      <c r="P37" s="311">
        <f>'[1]SPJ FUNGSIONAL '!$R$37</f>
        <v>281421617</v>
      </c>
      <c r="Q37" s="311">
        <f>13021535+168286+223472+13353860+13368828</f>
        <v>40135981</v>
      </c>
      <c r="R37" s="311">
        <f t="shared" si="5"/>
        <v>321557598</v>
      </c>
      <c r="S37" s="311"/>
      <c r="T37" s="311"/>
      <c r="U37" s="311">
        <f t="shared" si="1"/>
        <v>0</v>
      </c>
      <c r="V37" s="311"/>
      <c r="W37" s="311"/>
      <c r="X37" s="311">
        <f t="shared" si="2"/>
        <v>0</v>
      </c>
      <c r="Y37" s="293">
        <f t="shared" si="3"/>
        <v>321557598</v>
      </c>
      <c r="Z37" s="312">
        <f t="shared" si="4"/>
        <v>23442402</v>
      </c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31.2" customHeight="1">
      <c r="A38" s="305">
        <v>7</v>
      </c>
      <c r="B38" s="306" t="s">
        <v>19</v>
      </c>
      <c r="C38" s="306" t="s">
        <v>19</v>
      </c>
      <c r="D38" s="307">
        <v>2</v>
      </c>
      <c r="E38" s="306" t="s">
        <v>22</v>
      </c>
      <c r="F38" s="306" t="s">
        <v>19</v>
      </c>
      <c r="G38" s="307">
        <v>5</v>
      </c>
      <c r="H38" s="307">
        <v>1</v>
      </c>
      <c r="I38" s="306" t="s">
        <v>19</v>
      </c>
      <c r="J38" s="306" t="s">
        <v>19</v>
      </c>
      <c r="K38" s="315">
        <v>10</v>
      </c>
      <c r="L38" s="306" t="s">
        <v>27</v>
      </c>
      <c r="M38" s="308">
        <v>1</v>
      </c>
      <c r="N38" s="309" t="s">
        <v>42</v>
      </c>
      <c r="O38" s="310">
        <v>9244712</v>
      </c>
      <c r="P38" s="311">
        <f>'[1]SPJ FUNGSIONAL '!$R$38</f>
        <v>7267851</v>
      </c>
      <c r="Q38" s="311">
        <f>648566+12374</f>
        <v>660940</v>
      </c>
      <c r="R38" s="311">
        <f t="shared" si="5"/>
        <v>7928791</v>
      </c>
      <c r="S38" s="311"/>
      <c r="T38" s="311"/>
      <c r="U38" s="311">
        <f t="shared" si="1"/>
        <v>0</v>
      </c>
      <c r="V38" s="311"/>
      <c r="W38" s="311"/>
      <c r="X38" s="311">
        <f t="shared" si="2"/>
        <v>0</v>
      </c>
      <c r="Y38" s="293">
        <f t="shared" si="3"/>
        <v>7928791</v>
      </c>
      <c r="Z38" s="312">
        <f t="shared" si="4"/>
        <v>1315921</v>
      </c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31.2" customHeight="1">
      <c r="A39" s="305">
        <v>7</v>
      </c>
      <c r="B39" s="306" t="s">
        <v>19</v>
      </c>
      <c r="C39" s="306" t="s">
        <v>19</v>
      </c>
      <c r="D39" s="307">
        <v>2</v>
      </c>
      <c r="E39" s="306" t="s">
        <v>22</v>
      </c>
      <c r="F39" s="306" t="s">
        <v>19</v>
      </c>
      <c r="G39" s="307">
        <v>5</v>
      </c>
      <c r="H39" s="307">
        <v>1</v>
      </c>
      <c r="I39" s="306" t="s">
        <v>19</v>
      </c>
      <c r="J39" s="306" t="s">
        <v>19</v>
      </c>
      <c r="K39" s="314" t="s">
        <v>43</v>
      </c>
      <c r="L39" s="306" t="s">
        <v>27</v>
      </c>
      <c r="M39" s="308">
        <v>1</v>
      </c>
      <c r="N39" s="309" t="s">
        <v>44</v>
      </c>
      <c r="O39" s="310">
        <v>27735000</v>
      </c>
      <c r="P39" s="311">
        <f>'[1]SPJ FUNGSIONAL '!$R$39</f>
        <v>21803661</v>
      </c>
      <c r="Q39" s="311">
        <f>1945703+37115</f>
        <v>1982818</v>
      </c>
      <c r="R39" s="311">
        <f t="shared" si="5"/>
        <v>23786479</v>
      </c>
      <c r="S39" s="311"/>
      <c r="T39" s="311"/>
      <c r="U39" s="311">
        <f t="shared" si="1"/>
        <v>0</v>
      </c>
      <c r="V39" s="311"/>
      <c r="W39" s="311"/>
      <c r="X39" s="311">
        <f t="shared" si="2"/>
        <v>0</v>
      </c>
      <c r="Y39" s="293">
        <f t="shared" si="3"/>
        <v>23786479</v>
      </c>
      <c r="Z39" s="312">
        <f t="shared" si="4"/>
        <v>3948521</v>
      </c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31.2" customHeight="1">
      <c r="A40" s="288">
        <v>7</v>
      </c>
      <c r="B40" s="302" t="s">
        <v>19</v>
      </c>
      <c r="C40" s="302" t="s">
        <v>19</v>
      </c>
      <c r="D40" s="289">
        <v>2</v>
      </c>
      <c r="E40" s="302" t="s">
        <v>22</v>
      </c>
      <c r="F40" s="302" t="s">
        <v>19</v>
      </c>
      <c r="G40" s="289">
        <v>5</v>
      </c>
      <c r="H40" s="289">
        <v>1</v>
      </c>
      <c r="I40" s="302" t="s">
        <v>19</v>
      </c>
      <c r="J40" s="302" t="s">
        <v>22</v>
      </c>
      <c r="K40" s="289"/>
      <c r="L40" s="289"/>
      <c r="M40" s="290"/>
      <c r="N40" s="291" t="s">
        <v>45</v>
      </c>
      <c r="O40" s="292">
        <f t="shared" ref="O40:Q41" si="6">O41</f>
        <v>4530000000</v>
      </c>
      <c r="P40" s="303">
        <f t="shared" si="6"/>
        <v>3757908440</v>
      </c>
      <c r="Q40" s="303">
        <f t="shared" si="6"/>
        <v>676248735</v>
      </c>
      <c r="R40" s="304">
        <f t="shared" si="5"/>
        <v>4434157175</v>
      </c>
      <c r="S40" s="303">
        <f>S41</f>
        <v>0</v>
      </c>
      <c r="T40" s="303">
        <f>T41</f>
        <v>0</v>
      </c>
      <c r="U40" s="304">
        <f t="shared" si="1"/>
        <v>0</v>
      </c>
      <c r="V40" s="303">
        <f>V41</f>
        <v>0</v>
      </c>
      <c r="W40" s="303">
        <f>W41</f>
        <v>0</v>
      </c>
      <c r="X40" s="304">
        <f t="shared" si="2"/>
        <v>0</v>
      </c>
      <c r="Y40" s="303">
        <f t="shared" si="3"/>
        <v>4434157175</v>
      </c>
      <c r="Z40" s="292">
        <f t="shared" si="4"/>
        <v>95842825</v>
      </c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39" customHeight="1">
      <c r="A41" s="288">
        <v>7</v>
      </c>
      <c r="B41" s="302" t="s">
        <v>19</v>
      </c>
      <c r="C41" s="302" t="s">
        <v>19</v>
      </c>
      <c r="D41" s="289">
        <v>2</v>
      </c>
      <c r="E41" s="302" t="s">
        <v>22</v>
      </c>
      <c r="F41" s="302" t="s">
        <v>19</v>
      </c>
      <c r="G41" s="289">
        <v>5</v>
      </c>
      <c r="H41" s="289">
        <v>1</v>
      </c>
      <c r="I41" s="302" t="s">
        <v>19</v>
      </c>
      <c r="J41" s="302" t="s">
        <v>22</v>
      </c>
      <c r="K41" s="302" t="s">
        <v>19</v>
      </c>
      <c r="L41" s="289"/>
      <c r="M41" s="290"/>
      <c r="N41" s="316" t="s">
        <v>46</v>
      </c>
      <c r="O41" s="317">
        <f t="shared" si="6"/>
        <v>4530000000</v>
      </c>
      <c r="P41" s="304">
        <f t="shared" si="6"/>
        <v>3757908440</v>
      </c>
      <c r="Q41" s="304">
        <f t="shared" si="6"/>
        <v>676248735</v>
      </c>
      <c r="R41" s="304">
        <f t="shared" si="5"/>
        <v>4434157175</v>
      </c>
      <c r="S41" s="304">
        <f>S42</f>
        <v>0</v>
      </c>
      <c r="T41" s="304">
        <f>T42</f>
        <v>0</v>
      </c>
      <c r="U41" s="304">
        <f t="shared" si="1"/>
        <v>0</v>
      </c>
      <c r="V41" s="304">
        <f>V42</f>
        <v>0</v>
      </c>
      <c r="W41" s="304">
        <f>W42</f>
        <v>0</v>
      </c>
      <c r="X41" s="304">
        <f t="shared" si="2"/>
        <v>0</v>
      </c>
      <c r="Y41" s="303">
        <f t="shared" si="3"/>
        <v>4434157175</v>
      </c>
      <c r="Z41" s="292">
        <f t="shared" si="4"/>
        <v>95842825</v>
      </c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40.200000000000003" customHeight="1">
      <c r="A42" s="305">
        <v>7</v>
      </c>
      <c r="B42" s="306" t="s">
        <v>19</v>
      </c>
      <c r="C42" s="306" t="s">
        <v>19</v>
      </c>
      <c r="D42" s="307">
        <v>2</v>
      </c>
      <c r="E42" s="306" t="s">
        <v>22</v>
      </c>
      <c r="F42" s="306" t="s">
        <v>19</v>
      </c>
      <c r="G42" s="307">
        <v>5</v>
      </c>
      <c r="H42" s="307">
        <v>1</v>
      </c>
      <c r="I42" s="306" t="s">
        <v>19</v>
      </c>
      <c r="J42" s="306" t="s">
        <v>22</v>
      </c>
      <c r="K42" s="306" t="s">
        <v>19</v>
      </c>
      <c r="L42" s="306" t="s">
        <v>27</v>
      </c>
      <c r="M42" s="308">
        <v>1</v>
      </c>
      <c r="N42" s="318" t="s">
        <v>46</v>
      </c>
      <c r="O42" s="310">
        <v>4530000000</v>
      </c>
      <c r="P42" s="311">
        <f>'[1]SPJ FUNGSIONAL '!$R$42</f>
        <v>3757908440</v>
      </c>
      <c r="Q42" s="319">
        <f>337937364+338311371</f>
        <v>676248735</v>
      </c>
      <c r="R42" s="311">
        <f t="shared" si="5"/>
        <v>4434157175</v>
      </c>
      <c r="S42" s="311"/>
      <c r="T42" s="311"/>
      <c r="U42" s="311">
        <f t="shared" si="1"/>
        <v>0</v>
      </c>
      <c r="V42" s="311"/>
      <c r="W42" s="311"/>
      <c r="X42" s="311">
        <f t="shared" si="2"/>
        <v>0</v>
      </c>
      <c r="Y42" s="293">
        <f t="shared" si="3"/>
        <v>4434157175</v>
      </c>
      <c r="Z42" s="312">
        <f t="shared" si="4"/>
        <v>95842825</v>
      </c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2.65" customHeight="1">
      <c r="A43" s="305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8"/>
      <c r="N43" s="318"/>
      <c r="O43" s="310" t="s">
        <v>234</v>
      </c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0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36.75" customHeight="1">
      <c r="A44" s="279">
        <v>7</v>
      </c>
      <c r="B44" s="280" t="s">
        <v>19</v>
      </c>
      <c r="C44" s="280" t="s">
        <v>19</v>
      </c>
      <c r="D44" s="281">
        <v>2</v>
      </c>
      <c r="E44" s="280" t="s">
        <v>34</v>
      </c>
      <c r="F44" s="281"/>
      <c r="G44" s="281"/>
      <c r="H44" s="281"/>
      <c r="I44" s="281"/>
      <c r="J44" s="281"/>
      <c r="K44" s="281"/>
      <c r="L44" s="281"/>
      <c r="M44" s="282"/>
      <c r="N44" s="320" t="s">
        <v>47</v>
      </c>
      <c r="O44" s="284">
        <f>O46+O52+O66+O72</f>
        <v>511669850</v>
      </c>
      <c r="P44" s="285">
        <f>P46+P52+P66+P72</f>
        <v>0</v>
      </c>
      <c r="Q44" s="285">
        <f>Q46+Q52+Q66+Q72</f>
        <v>0</v>
      </c>
      <c r="R44" s="285">
        <f>P44+Q44</f>
        <v>0</v>
      </c>
      <c r="S44" s="285">
        <f>S46+S52+S66+S72</f>
        <v>0</v>
      </c>
      <c r="T44" s="285">
        <f>T46+T52+T66+T72</f>
        <v>0</v>
      </c>
      <c r="U44" s="285">
        <f>S44+T44</f>
        <v>0</v>
      </c>
      <c r="V44" s="285">
        <f>V46+V52+V66+V72</f>
        <v>393152893</v>
      </c>
      <c r="W44" s="285">
        <f>W46+W52+W66+W72</f>
        <v>56250700</v>
      </c>
      <c r="X44" s="285">
        <f>V44+W44</f>
        <v>449403593</v>
      </c>
      <c r="Y44" s="286">
        <f>R44+U44+X44</f>
        <v>449403593</v>
      </c>
      <c r="Z44" s="287">
        <f>O44-Y44</f>
        <v>62266257</v>
      </c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78" customFormat="1" ht="18" customHeight="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90"/>
      <c r="N45" s="291"/>
      <c r="O45" s="292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4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</row>
    <row r="46" spans="1:38" s="268" customFormat="1" ht="39" customHeight="1">
      <c r="A46" s="295">
        <v>7</v>
      </c>
      <c r="B46" s="296" t="s">
        <v>19</v>
      </c>
      <c r="C46" s="296" t="s">
        <v>19</v>
      </c>
      <c r="D46" s="297">
        <v>2</v>
      </c>
      <c r="E46" s="296" t="s">
        <v>34</v>
      </c>
      <c r="F46" s="296" t="s">
        <v>19</v>
      </c>
      <c r="G46" s="297"/>
      <c r="H46" s="297"/>
      <c r="I46" s="297"/>
      <c r="J46" s="297"/>
      <c r="K46" s="297"/>
      <c r="L46" s="297"/>
      <c r="M46" s="298"/>
      <c r="N46" s="321" t="s">
        <v>48</v>
      </c>
      <c r="O46" s="300">
        <f>O47</f>
        <v>32621700</v>
      </c>
      <c r="P46" s="301">
        <f t="shared" ref="P46:Q49" si="7">P47</f>
        <v>0</v>
      </c>
      <c r="Q46" s="301">
        <f t="shared" si="7"/>
        <v>0</v>
      </c>
      <c r="R46" s="301">
        <f>P46+Q46</f>
        <v>0</v>
      </c>
      <c r="S46" s="301">
        <f t="shared" ref="S46:T49" si="8">S47</f>
        <v>0</v>
      </c>
      <c r="T46" s="301">
        <f t="shared" si="8"/>
        <v>0</v>
      </c>
      <c r="U46" s="301">
        <f>S46+T46</f>
        <v>0</v>
      </c>
      <c r="V46" s="301">
        <f t="shared" ref="V46:W49" si="9">V47</f>
        <v>28345700</v>
      </c>
      <c r="W46" s="301">
        <f t="shared" si="9"/>
        <v>3313800</v>
      </c>
      <c r="X46" s="301">
        <f>V46+W46</f>
        <v>31659500</v>
      </c>
      <c r="Y46" s="301">
        <f>R46+U46+X46</f>
        <v>31659500</v>
      </c>
      <c r="Z46" s="300">
        <f>O46-Y46</f>
        <v>962200</v>
      </c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78" customFormat="1" ht="39" customHeight="1">
      <c r="A47" s="288">
        <v>7</v>
      </c>
      <c r="B47" s="302" t="s">
        <v>19</v>
      </c>
      <c r="C47" s="302" t="s">
        <v>19</v>
      </c>
      <c r="D47" s="289">
        <v>2</v>
      </c>
      <c r="E47" s="302" t="s">
        <v>34</v>
      </c>
      <c r="F47" s="302" t="s">
        <v>19</v>
      </c>
      <c r="G47" s="289">
        <v>5</v>
      </c>
      <c r="H47" s="289">
        <v>1</v>
      </c>
      <c r="I47" s="302" t="s">
        <v>22</v>
      </c>
      <c r="J47" s="289"/>
      <c r="K47" s="289"/>
      <c r="L47" s="289"/>
      <c r="M47" s="290"/>
      <c r="N47" s="322" t="s">
        <v>49</v>
      </c>
      <c r="O47" s="292">
        <f>O48</f>
        <v>32621700</v>
      </c>
      <c r="P47" s="303">
        <f t="shared" si="7"/>
        <v>0</v>
      </c>
      <c r="Q47" s="303">
        <f t="shared" si="7"/>
        <v>0</v>
      </c>
      <c r="R47" s="304">
        <f>P47+Q47</f>
        <v>0</v>
      </c>
      <c r="S47" s="303">
        <f t="shared" si="8"/>
        <v>0</v>
      </c>
      <c r="T47" s="303">
        <f t="shared" si="8"/>
        <v>0</v>
      </c>
      <c r="U47" s="304">
        <f>S47+T47</f>
        <v>0</v>
      </c>
      <c r="V47" s="303">
        <f t="shared" si="9"/>
        <v>28345700</v>
      </c>
      <c r="W47" s="303">
        <f t="shared" si="9"/>
        <v>3313800</v>
      </c>
      <c r="X47" s="304">
        <f>V47+W47</f>
        <v>31659500</v>
      </c>
      <c r="Y47" s="304">
        <f>R47+U47+X47</f>
        <v>31659500</v>
      </c>
      <c r="Z47" s="317">
        <f>O47-Y47</f>
        <v>962200</v>
      </c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</row>
    <row r="48" spans="1:38" s="278" customFormat="1" ht="39" customHeight="1">
      <c r="A48" s="288">
        <v>7</v>
      </c>
      <c r="B48" s="302" t="s">
        <v>19</v>
      </c>
      <c r="C48" s="302" t="s">
        <v>19</v>
      </c>
      <c r="D48" s="289">
        <v>2</v>
      </c>
      <c r="E48" s="302" t="s">
        <v>34</v>
      </c>
      <c r="F48" s="302" t="s">
        <v>19</v>
      </c>
      <c r="G48" s="289">
        <v>5</v>
      </c>
      <c r="H48" s="289">
        <v>1</v>
      </c>
      <c r="I48" s="302" t="s">
        <v>22</v>
      </c>
      <c r="J48" s="302" t="s">
        <v>19</v>
      </c>
      <c r="K48" s="289"/>
      <c r="L48" s="289"/>
      <c r="M48" s="290"/>
      <c r="N48" s="322" t="s">
        <v>50</v>
      </c>
      <c r="O48" s="292">
        <f>O49</f>
        <v>32621700</v>
      </c>
      <c r="P48" s="303">
        <f t="shared" si="7"/>
        <v>0</v>
      </c>
      <c r="Q48" s="303">
        <f t="shared" si="7"/>
        <v>0</v>
      </c>
      <c r="R48" s="304">
        <f>P48+Q48</f>
        <v>0</v>
      </c>
      <c r="S48" s="303">
        <f t="shared" si="8"/>
        <v>0</v>
      </c>
      <c r="T48" s="303">
        <f t="shared" si="8"/>
        <v>0</v>
      </c>
      <c r="U48" s="304">
        <f>S48+T48</f>
        <v>0</v>
      </c>
      <c r="V48" s="303">
        <f t="shared" si="9"/>
        <v>28345700</v>
      </c>
      <c r="W48" s="303">
        <f t="shared" si="9"/>
        <v>3313800</v>
      </c>
      <c r="X48" s="304">
        <f>V48+W48</f>
        <v>31659500</v>
      </c>
      <c r="Y48" s="304">
        <f>R48+U48+X48</f>
        <v>31659500</v>
      </c>
      <c r="Z48" s="317">
        <f>O48-Y48</f>
        <v>962200</v>
      </c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</row>
    <row r="49" spans="1:38" s="278" customFormat="1" ht="39" customHeight="1">
      <c r="A49" s="288">
        <v>7</v>
      </c>
      <c r="B49" s="302" t="s">
        <v>19</v>
      </c>
      <c r="C49" s="302" t="s">
        <v>19</v>
      </c>
      <c r="D49" s="289">
        <v>2</v>
      </c>
      <c r="E49" s="302" t="s">
        <v>34</v>
      </c>
      <c r="F49" s="302" t="s">
        <v>19</v>
      </c>
      <c r="G49" s="289">
        <v>5</v>
      </c>
      <c r="H49" s="289">
        <v>1</v>
      </c>
      <c r="I49" s="302" t="s">
        <v>22</v>
      </c>
      <c r="J49" s="302" t="s">
        <v>19</v>
      </c>
      <c r="K49" s="302" t="s">
        <v>19</v>
      </c>
      <c r="L49" s="289"/>
      <c r="M49" s="290"/>
      <c r="N49" s="322" t="s">
        <v>51</v>
      </c>
      <c r="O49" s="292">
        <f>O50</f>
        <v>32621700</v>
      </c>
      <c r="P49" s="303">
        <f t="shared" si="7"/>
        <v>0</v>
      </c>
      <c r="Q49" s="303">
        <f t="shared" si="7"/>
        <v>0</v>
      </c>
      <c r="R49" s="304">
        <f>P49+Q49</f>
        <v>0</v>
      </c>
      <c r="S49" s="303">
        <f t="shared" si="8"/>
        <v>0</v>
      </c>
      <c r="T49" s="303">
        <f t="shared" si="8"/>
        <v>0</v>
      </c>
      <c r="U49" s="304">
        <f>S49+T49</f>
        <v>0</v>
      </c>
      <c r="V49" s="303">
        <f t="shared" si="9"/>
        <v>28345700</v>
      </c>
      <c r="W49" s="303">
        <f t="shared" si="9"/>
        <v>3313800</v>
      </c>
      <c r="X49" s="304">
        <f>V49+W49</f>
        <v>31659500</v>
      </c>
      <c r="Y49" s="304">
        <f>R49+U49+X49</f>
        <v>31659500</v>
      </c>
      <c r="Z49" s="317">
        <f>O49-Y49</f>
        <v>962200</v>
      </c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</row>
    <row r="50" spans="1:38" s="268" customFormat="1" ht="39" customHeight="1">
      <c r="A50" s="305">
        <v>7</v>
      </c>
      <c r="B50" s="306" t="s">
        <v>19</v>
      </c>
      <c r="C50" s="306" t="s">
        <v>19</v>
      </c>
      <c r="D50" s="307">
        <v>2</v>
      </c>
      <c r="E50" s="306" t="s">
        <v>34</v>
      </c>
      <c r="F50" s="306" t="s">
        <v>19</v>
      </c>
      <c r="G50" s="307">
        <v>5</v>
      </c>
      <c r="H50" s="307">
        <v>1</v>
      </c>
      <c r="I50" s="306" t="s">
        <v>22</v>
      </c>
      <c r="J50" s="306" t="s">
        <v>19</v>
      </c>
      <c r="K50" s="306" t="s">
        <v>19</v>
      </c>
      <c r="L50" s="306" t="s">
        <v>52</v>
      </c>
      <c r="M50" s="308">
        <v>1</v>
      </c>
      <c r="N50" s="318" t="s">
        <v>53</v>
      </c>
      <c r="O50" s="310">
        <v>32621700</v>
      </c>
      <c r="P50" s="311"/>
      <c r="Q50" s="311"/>
      <c r="R50" s="311">
        <f>P50+Q50</f>
        <v>0</v>
      </c>
      <c r="S50" s="311"/>
      <c r="T50" s="311"/>
      <c r="U50" s="311">
        <f>S50+T50</f>
        <v>0</v>
      </c>
      <c r="V50" s="311">
        <f>'[1]SPJ FUNGSIONAL '!$X$50</f>
        <v>28345700</v>
      </c>
      <c r="W50" s="311">
        <f>3313800</f>
        <v>3313800</v>
      </c>
      <c r="X50" s="311">
        <f>V50+W50</f>
        <v>31659500</v>
      </c>
      <c r="Y50" s="311">
        <f>R50+U50+X50</f>
        <v>31659500</v>
      </c>
      <c r="Z50" s="310">
        <f>O50-Y50</f>
        <v>962200</v>
      </c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s="268" customFormat="1" ht="25" customHeight="1">
      <c r="A51" s="305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8"/>
      <c r="N51" s="309"/>
      <c r="O51" s="310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0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s="268" customFormat="1" ht="36.75" customHeight="1">
      <c r="A52" s="295">
        <v>7</v>
      </c>
      <c r="B52" s="296" t="s">
        <v>19</v>
      </c>
      <c r="C52" s="296" t="s">
        <v>19</v>
      </c>
      <c r="D52" s="297">
        <v>2</v>
      </c>
      <c r="E52" s="296" t="s">
        <v>34</v>
      </c>
      <c r="F52" s="296" t="s">
        <v>54</v>
      </c>
      <c r="G52" s="297"/>
      <c r="H52" s="297"/>
      <c r="I52" s="297"/>
      <c r="J52" s="297"/>
      <c r="K52" s="297"/>
      <c r="L52" s="297"/>
      <c r="M52" s="298"/>
      <c r="N52" s="321" t="s">
        <v>55</v>
      </c>
      <c r="O52" s="300">
        <f>O53</f>
        <v>175804400</v>
      </c>
      <c r="P52" s="301">
        <f>P53</f>
        <v>0</v>
      </c>
      <c r="Q52" s="301">
        <f>Q53</f>
        <v>0</v>
      </c>
      <c r="R52" s="301">
        <f>P52+Q52</f>
        <v>0</v>
      </c>
      <c r="S52" s="301">
        <f t="shared" ref="S52:T54" si="10">S53</f>
        <v>0</v>
      </c>
      <c r="T52" s="301">
        <f t="shared" si="10"/>
        <v>0</v>
      </c>
      <c r="U52" s="301">
        <f t="shared" ref="U52:U61" si="11">S52+T52</f>
        <v>0</v>
      </c>
      <c r="V52" s="301">
        <f t="shared" ref="V52:W54" si="12">V53</f>
        <v>143943650</v>
      </c>
      <c r="W52" s="301">
        <f t="shared" si="12"/>
        <v>22460500</v>
      </c>
      <c r="X52" s="301">
        <f t="shared" ref="X52:X61" si="13">V52+W52</f>
        <v>166404150</v>
      </c>
      <c r="Y52" s="301">
        <f>R52+U52+X52</f>
        <v>166404150</v>
      </c>
      <c r="Z52" s="300">
        <f>O52-Y52</f>
        <v>9400250</v>
      </c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s="268" customFormat="1" ht="36.65" customHeight="1">
      <c r="A53" s="288">
        <v>7</v>
      </c>
      <c r="B53" s="302" t="s">
        <v>19</v>
      </c>
      <c r="C53" s="302" t="s">
        <v>19</v>
      </c>
      <c r="D53" s="289">
        <v>2</v>
      </c>
      <c r="E53" s="302" t="s">
        <v>34</v>
      </c>
      <c r="F53" s="302" t="s">
        <v>54</v>
      </c>
      <c r="G53" s="289">
        <v>5</v>
      </c>
      <c r="H53" s="289">
        <v>1</v>
      </c>
      <c r="I53" s="302" t="s">
        <v>22</v>
      </c>
      <c r="J53" s="289"/>
      <c r="K53" s="289"/>
      <c r="L53" s="289"/>
      <c r="M53" s="290"/>
      <c r="N53" s="322" t="s">
        <v>49</v>
      </c>
      <c r="O53" s="292">
        <f>O54+O62</f>
        <v>175804400</v>
      </c>
      <c r="P53" s="303">
        <f>P54</f>
        <v>0</v>
      </c>
      <c r="Q53" s="303">
        <f>Q54</f>
        <v>0</v>
      </c>
      <c r="R53" s="304">
        <f t="shared" ref="R53:R59" si="14">P53+Q53</f>
        <v>0</v>
      </c>
      <c r="S53" s="303">
        <f t="shared" si="10"/>
        <v>0</v>
      </c>
      <c r="T53" s="303">
        <f t="shared" si="10"/>
        <v>0</v>
      </c>
      <c r="U53" s="304">
        <f t="shared" si="11"/>
        <v>0</v>
      </c>
      <c r="V53" s="292">
        <f t="shared" ref="V53:W53" si="15">V54+V62</f>
        <v>143943650</v>
      </c>
      <c r="W53" s="292">
        <f t="shared" si="15"/>
        <v>22460500</v>
      </c>
      <c r="X53" s="304">
        <f t="shared" si="13"/>
        <v>166404150</v>
      </c>
      <c r="Y53" s="304">
        <f t="shared" ref="Y53:Y61" si="16">R53+U53+X53</f>
        <v>166404150</v>
      </c>
      <c r="Z53" s="317">
        <f t="shared" ref="Z53:Z64" si="17">O53-Y53</f>
        <v>9400250</v>
      </c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s="268" customFormat="1" ht="36.65" customHeight="1">
      <c r="A54" s="288">
        <v>7</v>
      </c>
      <c r="B54" s="302" t="s">
        <v>19</v>
      </c>
      <c r="C54" s="302" t="s">
        <v>19</v>
      </c>
      <c r="D54" s="289">
        <v>2</v>
      </c>
      <c r="E54" s="302" t="s">
        <v>34</v>
      </c>
      <c r="F54" s="302" t="s">
        <v>54</v>
      </c>
      <c r="G54" s="289">
        <v>5</v>
      </c>
      <c r="H54" s="289">
        <v>1</v>
      </c>
      <c r="I54" s="302" t="s">
        <v>22</v>
      </c>
      <c r="J54" s="302" t="s">
        <v>19</v>
      </c>
      <c r="K54" s="289"/>
      <c r="L54" s="289"/>
      <c r="M54" s="290"/>
      <c r="N54" s="322" t="s">
        <v>50</v>
      </c>
      <c r="O54" s="292">
        <f>O55</f>
        <v>174004400</v>
      </c>
      <c r="P54" s="303">
        <f>P55</f>
        <v>0</v>
      </c>
      <c r="Q54" s="303">
        <f>Q55</f>
        <v>0</v>
      </c>
      <c r="R54" s="304">
        <f t="shared" si="14"/>
        <v>0</v>
      </c>
      <c r="S54" s="303">
        <f t="shared" si="10"/>
        <v>0</v>
      </c>
      <c r="T54" s="303">
        <f t="shared" si="10"/>
        <v>0</v>
      </c>
      <c r="U54" s="304">
        <f t="shared" si="11"/>
        <v>0</v>
      </c>
      <c r="V54" s="303">
        <f t="shared" si="12"/>
        <v>142743650</v>
      </c>
      <c r="W54" s="303">
        <f t="shared" si="12"/>
        <v>22160500</v>
      </c>
      <c r="X54" s="304">
        <f t="shared" si="13"/>
        <v>164904150</v>
      </c>
      <c r="Y54" s="304">
        <f t="shared" si="16"/>
        <v>164904150</v>
      </c>
      <c r="Z54" s="317">
        <f t="shared" si="17"/>
        <v>9100250</v>
      </c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s="268" customFormat="1" ht="36.65" customHeight="1">
      <c r="A55" s="288">
        <v>7</v>
      </c>
      <c r="B55" s="302" t="s">
        <v>19</v>
      </c>
      <c r="C55" s="302" t="s">
        <v>19</v>
      </c>
      <c r="D55" s="289">
        <v>2</v>
      </c>
      <c r="E55" s="302" t="s">
        <v>34</v>
      </c>
      <c r="F55" s="302" t="s">
        <v>54</v>
      </c>
      <c r="G55" s="289">
        <v>5</v>
      </c>
      <c r="H55" s="289">
        <v>1</v>
      </c>
      <c r="I55" s="302" t="s">
        <v>22</v>
      </c>
      <c r="J55" s="302" t="s">
        <v>19</v>
      </c>
      <c r="K55" s="302" t="s">
        <v>19</v>
      </c>
      <c r="L55" s="289"/>
      <c r="M55" s="290"/>
      <c r="N55" s="322" t="s">
        <v>51</v>
      </c>
      <c r="O55" s="292">
        <f>SUM(O56:O61)</f>
        <v>174004400</v>
      </c>
      <c r="P55" s="303">
        <f>SUM(P56:P61)</f>
        <v>0</v>
      </c>
      <c r="Q55" s="303">
        <f>SUM(Q56:Q61)</f>
        <v>0</v>
      </c>
      <c r="R55" s="304">
        <f t="shared" si="14"/>
        <v>0</v>
      </c>
      <c r="S55" s="303">
        <f>SUM(S56:S61)</f>
        <v>0</v>
      </c>
      <c r="T55" s="303">
        <f>SUM(T56:T61)</f>
        <v>0</v>
      </c>
      <c r="U55" s="304">
        <f t="shared" si="11"/>
        <v>0</v>
      </c>
      <c r="V55" s="303">
        <f>SUM(V56:V61)</f>
        <v>142743650</v>
      </c>
      <c r="W55" s="303">
        <f>SUM(W56:W61)</f>
        <v>22160500</v>
      </c>
      <c r="X55" s="304">
        <f t="shared" si="13"/>
        <v>164904150</v>
      </c>
      <c r="Y55" s="304">
        <f t="shared" si="16"/>
        <v>164904150</v>
      </c>
      <c r="Z55" s="317">
        <f t="shared" si="17"/>
        <v>9100250</v>
      </c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</row>
    <row r="56" spans="1:38" s="268" customFormat="1" ht="36.65" customHeight="1">
      <c r="A56" s="305">
        <v>7</v>
      </c>
      <c r="B56" s="306" t="s">
        <v>19</v>
      </c>
      <c r="C56" s="306" t="s">
        <v>19</v>
      </c>
      <c r="D56" s="307">
        <v>2</v>
      </c>
      <c r="E56" s="306" t="s">
        <v>34</v>
      </c>
      <c r="F56" s="306" t="s">
        <v>54</v>
      </c>
      <c r="G56" s="307">
        <v>5</v>
      </c>
      <c r="H56" s="307">
        <v>1</v>
      </c>
      <c r="I56" s="306" t="s">
        <v>22</v>
      </c>
      <c r="J56" s="306" t="s">
        <v>19</v>
      </c>
      <c r="K56" s="306" t="s">
        <v>19</v>
      </c>
      <c r="L56" s="306" t="s">
        <v>56</v>
      </c>
      <c r="M56" s="308">
        <v>4</v>
      </c>
      <c r="N56" s="309" t="s">
        <v>57</v>
      </c>
      <c r="O56" s="310">
        <v>25206400</v>
      </c>
      <c r="P56" s="311"/>
      <c r="Q56" s="311"/>
      <c r="R56" s="311">
        <f t="shared" si="14"/>
        <v>0</v>
      </c>
      <c r="S56" s="311"/>
      <c r="T56" s="311"/>
      <c r="U56" s="311">
        <f t="shared" si="11"/>
        <v>0</v>
      </c>
      <c r="V56" s="311">
        <f>'[1]SPJ FUNGSIONAL '!$X$56</f>
        <v>22727650</v>
      </c>
      <c r="W56" s="311">
        <v>1733500</v>
      </c>
      <c r="X56" s="311">
        <f t="shared" si="13"/>
        <v>24461150</v>
      </c>
      <c r="Y56" s="311">
        <f t="shared" si="16"/>
        <v>24461150</v>
      </c>
      <c r="Z56" s="310">
        <f t="shared" si="17"/>
        <v>745250</v>
      </c>
      <c r="AA56" s="267"/>
      <c r="AB56" s="267"/>
      <c r="AC56" s="267"/>
      <c r="AD56" s="267"/>
      <c r="AE56" s="267">
        <v>2026500</v>
      </c>
      <c r="AF56" s="267"/>
      <c r="AG56" s="267"/>
      <c r="AH56" s="267"/>
      <c r="AI56" s="267"/>
      <c r="AJ56" s="267"/>
      <c r="AK56" s="267"/>
      <c r="AL56" s="267"/>
    </row>
    <row r="57" spans="1:38" s="268" customFormat="1" ht="51" customHeight="1">
      <c r="A57" s="305">
        <v>7</v>
      </c>
      <c r="B57" s="306" t="s">
        <v>19</v>
      </c>
      <c r="C57" s="306" t="s">
        <v>19</v>
      </c>
      <c r="D57" s="307">
        <v>2</v>
      </c>
      <c r="E57" s="306" t="s">
        <v>34</v>
      </c>
      <c r="F57" s="306" t="s">
        <v>54</v>
      </c>
      <c r="G57" s="307">
        <v>5</v>
      </c>
      <c r="H57" s="307">
        <v>1</v>
      </c>
      <c r="I57" s="306" t="s">
        <v>22</v>
      </c>
      <c r="J57" s="306" t="s">
        <v>19</v>
      </c>
      <c r="K57" s="306" t="s">
        <v>19</v>
      </c>
      <c r="L57" s="306" t="s">
        <v>56</v>
      </c>
      <c r="M57" s="308">
        <v>5</v>
      </c>
      <c r="N57" s="318" t="s">
        <v>58</v>
      </c>
      <c r="O57" s="310">
        <v>40849000</v>
      </c>
      <c r="P57" s="311"/>
      <c r="Q57" s="311"/>
      <c r="R57" s="311">
        <f t="shared" si="14"/>
        <v>0</v>
      </c>
      <c r="S57" s="311"/>
      <c r="T57" s="311"/>
      <c r="U57" s="311">
        <f t="shared" si="11"/>
        <v>0</v>
      </c>
      <c r="V57" s="311">
        <f>'[1]SPJ FUNGSIONAL '!$X$57</f>
        <v>32780500</v>
      </c>
      <c r="W57" s="311">
        <f>4791500</f>
        <v>4791500</v>
      </c>
      <c r="X57" s="311">
        <f t="shared" si="13"/>
        <v>37572000</v>
      </c>
      <c r="Y57" s="311">
        <f t="shared" si="16"/>
        <v>37572000</v>
      </c>
      <c r="Z57" s="310">
        <f t="shared" si="17"/>
        <v>3277000</v>
      </c>
      <c r="AA57" s="267"/>
      <c r="AB57" s="267"/>
      <c r="AC57" s="267"/>
      <c r="AD57" s="267"/>
      <c r="AE57" s="267">
        <v>2956500</v>
      </c>
      <c r="AF57" s="267"/>
      <c r="AG57" s="267"/>
      <c r="AH57" s="267"/>
      <c r="AI57" s="267"/>
      <c r="AJ57" s="267"/>
      <c r="AK57" s="267"/>
      <c r="AL57" s="267"/>
    </row>
    <row r="58" spans="1:38" s="268" customFormat="1" ht="48" customHeight="1">
      <c r="A58" s="305">
        <v>7</v>
      </c>
      <c r="B58" s="306" t="s">
        <v>19</v>
      </c>
      <c r="C58" s="306" t="s">
        <v>19</v>
      </c>
      <c r="D58" s="307">
        <v>2</v>
      </c>
      <c r="E58" s="306" t="s">
        <v>34</v>
      </c>
      <c r="F58" s="306" t="s">
        <v>54</v>
      </c>
      <c r="G58" s="307">
        <v>5</v>
      </c>
      <c r="H58" s="307">
        <v>1</v>
      </c>
      <c r="I58" s="306" t="s">
        <v>22</v>
      </c>
      <c r="J58" s="306" t="s">
        <v>19</v>
      </c>
      <c r="K58" s="306" t="s">
        <v>19</v>
      </c>
      <c r="L58" s="306" t="s">
        <v>56</v>
      </c>
      <c r="M58" s="308">
        <v>6</v>
      </c>
      <c r="N58" s="318" t="s">
        <v>62</v>
      </c>
      <c r="O58" s="310">
        <v>115000</v>
      </c>
      <c r="P58" s="311"/>
      <c r="Q58" s="311"/>
      <c r="R58" s="311"/>
      <c r="S58" s="311"/>
      <c r="T58" s="311"/>
      <c r="U58" s="311"/>
      <c r="V58" s="311">
        <f>'[3]SPJ FUNGSIONAL '!$X$58</f>
        <v>115000</v>
      </c>
      <c r="W58" s="311">
        <v>0</v>
      </c>
      <c r="X58" s="311">
        <f t="shared" ref="X58" si="18">V58+W58</f>
        <v>115000</v>
      </c>
      <c r="Y58" s="311">
        <f t="shared" ref="Y58" si="19">R58+U58+X58</f>
        <v>115000</v>
      </c>
      <c r="Z58" s="310">
        <f t="shared" si="17"/>
        <v>0</v>
      </c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s="268" customFormat="1" ht="42" customHeight="1">
      <c r="A59" s="305">
        <v>7</v>
      </c>
      <c r="B59" s="306" t="s">
        <v>19</v>
      </c>
      <c r="C59" s="306" t="s">
        <v>19</v>
      </c>
      <c r="D59" s="307">
        <v>2</v>
      </c>
      <c r="E59" s="306" t="s">
        <v>34</v>
      </c>
      <c r="F59" s="306" t="s">
        <v>54</v>
      </c>
      <c r="G59" s="307">
        <v>5</v>
      </c>
      <c r="H59" s="307">
        <v>1</v>
      </c>
      <c r="I59" s="306" t="s">
        <v>22</v>
      </c>
      <c r="J59" s="306" t="s">
        <v>19</v>
      </c>
      <c r="K59" s="306" t="s">
        <v>19</v>
      </c>
      <c r="L59" s="306" t="s">
        <v>56</v>
      </c>
      <c r="M59" s="308">
        <v>9</v>
      </c>
      <c r="N59" s="318" t="s">
        <v>59</v>
      </c>
      <c r="O59" s="310">
        <v>47550000</v>
      </c>
      <c r="P59" s="311"/>
      <c r="Q59" s="311"/>
      <c r="R59" s="311">
        <f t="shared" si="14"/>
        <v>0</v>
      </c>
      <c r="S59" s="311"/>
      <c r="T59" s="311"/>
      <c r="U59" s="311">
        <f t="shared" si="11"/>
        <v>0</v>
      </c>
      <c r="V59" s="311">
        <f>'[1]SPJ FUNGSIONAL '!$X$59</f>
        <v>40911000</v>
      </c>
      <c r="W59" s="311">
        <v>5570000</v>
      </c>
      <c r="X59" s="311">
        <f t="shared" si="13"/>
        <v>46481000</v>
      </c>
      <c r="Y59" s="311">
        <f t="shared" si="16"/>
        <v>46481000</v>
      </c>
      <c r="Z59" s="310">
        <f t="shared" si="17"/>
        <v>1069000</v>
      </c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s="268" customFormat="1" ht="43.5" customHeight="1">
      <c r="A60" s="305">
        <v>7</v>
      </c>
      <c r="B60" s="306" t="s">
        <v>19</v>
      </c>
      <c r="C60" s="306" t="s">
        <v>19</v>
      </c>
      <c r="D60" s="307">
        <v>2</v>
      </c>
      <c r="E60" s="306" t="s">
        <v>34</v>
      </c>
      <c r="F60" s="306" t="s">
        <v>54</v>
      </c>
      <c r="G60" s="307">
        <v>5</v>
      </c>
      <c r="H60" s="307">
        <v>1</v>
      </c>
      <c r="I60" s="306" t="s">
        <v>22</v>
      </c>
      <c r="J60" s="306" t="s">
        <v>19</v>
      </c>
      <c r="K60" s="306" t="s">
        <v>19</v>
      </c>
      <c r="L60" s="306" t="s">
        <v>52</v>
      </c>
      <c r="M60" s="308">
        <v>0</v>
      </c>
      <c r="N60" s="318" t="s">
        <v>173</v>
      </c>
      <c r="O60" s="310">
        <v>24193000</v>
      </c>
      <c r="P60" s="311"/>
      <c r="Q60" s="311"/>
      <c r="R60" s="311"/>
      <c r="S60" s="311"/>
      <c r="T60" s="311"/>
      <c r="U60" s="311"/>
      <c r="V60" s="311">
        <f>'[1]SPJ FUNGSIONAL '!$X$60</f>
        <v>18353500</v>
      </c>
      <c r="W60" s="526">
        <f>3840000-15000</f>
        <v>3825000</v>
      </c>
      <c r="X60" s="311">
        <f t="shared" ref="X60" si="20">V60+W60</f>
        <v>22178500</v>
      </c>
      <c r="Y60" s="311">
        <f t="shared" ref="Y60" si="21">R60+U60+X60</f>
        <v>22178500</v>
      </c>
      <c r="Z60" s="310">
        <f t="shared" si="17"/>
        <v>2014500</v>
      </c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s="268" customFormat="1" ht="45.65" customHeight="1">
      <c r="A61" s="305">
        <v>7</v>
      </c>
      <c r="B61" s="306" t="s">
        <v>19</v>
      </c>
      <c r="C61" s="306" t="s">
        <v>19</v>
      </c>
      <c r="D61" s="307">
        <v>2</v>
      </c>
      <c r="E61" s="306" t="s">
        <v>34</v>
      </c>
      <c r="F61" s="306" t="s">
        <v>54</v>
      </c>
      <c r="G61" s="307">
        <v>5</v>
      </c>
      <c r="H61" s="307">
        <v>1</v>
      </c>
      <c r="I61" s="306" t="s">
        <v>22</v>
      </c>
      <c r="J61" s="306" t="s">
        <v>19</v>
      </c>
      <c r="K61" s="306" t="s">
        <v>19</v>
      </c>
      <c r="L61" s="306" t="s">
        <v>52</v>
      </c>
      <c r="M61" s="308">
        <v>6</v>
      </c>
      <c r="N61" s="318" t="s">
        <v>60</v>
      </c>
      <c r="O61" s="310">
        <v>36091000</v>
      </c>
      <c r="P61" s="311"/>
      <c r="Q61" s="311"/>
      <c r="R61" s="311">
        <f>P61+Q61</f>
        <v>0</v>
      </c>
      <c r="S61" s="311"/>
      <c r="T61" s="311"/>
      <c r="U61" s="311">
        <f t="shared" si="11"/>
        <v>0</v>
      </c>
      <c r="V61" s="311">
        <f>'[1]SPJ FUNGSIONAL '!$X$61</f>
        <v>27856000</v>
      </c>
      <c r="W61" s="311">
        <v>6240500</v>
      </c>
      <c r="X61" s="311">
        <f t="shared" si="13"/>
        <v>34096500</v>
      </c>
      <c r="Y61" s="311">
        <f t="shared" si="16"/>
        <v>34096500</v>
      </c>
      <c r="Z61" s="310">
        <f t="shared" si="17"/>
        <v>1994500</v>
      </c>
      <c r="AA61" s="267"/>
      <c r="AB61" s="267"/>
      <c r="AC61" s="267"/>
      <c r="AD61" s="267"/>
      <c r="AE61" s="267">
        <v>1051000</v>
      </c>
      <c r="AF61" s="267"/>
      <c r="AG61" s="267"/>
      <c r="AH61" s="267"/>
      <c r="AI61" s="267"/>
      <c r="AJ61" s="267"/>
      <c r="AK61" s="267"/>
      <c r="AL61" s="267"/>
    </row>
    <row r="62" spans="1:38" s="268" customFormat="1" ht="33" customHeight="1">
      <c r="A62" s="288">
        <v>7</v>
      </c>
      <c r="B62" s="302" t="s">
        <v>19</v>
      </c>
      <c r="C62" s="302" t="s">
        <v>19</v>
      </c>
      <c r="D62" s="289">
        <v>2</v>
      </c>
      <c r="E62" s="302" t="s">
        <v>34</v>
      </c>
      <c r="F62" s="302" t="s">
        <v>54</v>
      </c>
      <c r="G62" s="289">
        <v>5</v>
      </c>
      <c r="H62" s="289">
        <v>1</v>
      </c>
      <c r="I62" s="302" t="s">
        <v>22</v>
      </c>
      <c r="J62" s="302" t="s">
        <v>22</v>
      </c>
      <c r="K62" s="289"/>
      <c r="L62" s="289"/>
      <c r="M62" s="290"/>
      <c r="N62" s="322" t="s">
        <v>75</v>
      </c>
      <c r="O62" s="292">
        <f>O63</f>
        <v>1800000</v>
      </c>
      <c r="P62" s="311"/>
      <c r="Q62" s="311"/>
      <c r="R62" s="311"/>
      <c r="S62" s="311"/>
      <c r="T62" s="311"/>
      <c r="U62" s="311"/>
      <c r="V62" s="304">
        <f>V63</f>
        <v>1200000</v>
      </c>
      <c r="W62" s="304">
        <f>W63</f>
        <v>300000</v>
      </c>
      <c r="X62" s="304">
        <f t="shared" ref="X62:X64" si="22">V62+W62</f>
        <v>1500000</v>
      </c>
      <c r="Y62" s="304">
        <f t="shared" ref="Y62:Y64" si="23">R62+U62+X62</f>
        <v>1500000</v>
      </c>
      <c r="Z62" s="317">
        <f t="shared" si="17"/>
        <v>300000</v>
      </c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</row>
    <row r="63" spans="1:38" s="268" customFormat="1" ht="33" customHeight="1">
      <c r="A63" s="288">
        <v>7</v>
      </c>
      <c r="B63" s="302" t="s">
        <v>19</v>
      </c>
      <c r="C63" s="302" t="s">
        <v>19</v>
      </c>
      <c r="D63" s="289">
        <v>2</v>
      </c>
      <c r="E63" s="302" t="s">
        <v>34</v>
      </c>
      <c r="F63" s="302" t="s">
        <v>54</v>
      </c>
      <c r="G63" s="289">
        <v>5</v>
      </c>
      <c r="H63" s="289">
        <v>1</v>
      </c>
      <c r="I63" s="302" t="s">
        <v>22</v>
      </c>
      <c r="J63" s="302" t="s">
        <v>22</v>
      </c>
      <c r="K63" s="302" t="s">
        <v>19</v>
      </c>
      <c r="L63" s="307"/>
      <c r="M63" s="308"/>
      <c r="N63" s="323" t="s">
        <v>76</v>
      </c>
      <c r="O63" s="310">
        <f>O64</f>
        <v>1800000</v>
      </c>
      <c r="P63" s="311"/>
      <c r="Q63" s="311"/>
      <c r="R63" s="311"/>
      <c r="S63" s="311"/>
      <c r="T63" s="311"/>
      <c r="U63" s="311"/>
      <c r="V63" s="304">
        <f>V64</f>
        <v>1200000</v>
      </c>
      <c r="W63" s="304">
        <f>W64</f>
        <v>300000</v>
      </c>
      <c r="X63" s="304">
        <f t="shared" si="22"/>
        <v>1500000</v>
      </c>
      <c r="Y63" s="304">
        <f t="shared" si="23"/>
        <v>1500000</v>
      </c>
      <c r="Z63" s="317">
        <f>O63-Y63</f>
        <v>300000</v>
      </c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</row>
    <row r="64" spans="1:38" s="268" customFormat="1" ht="40.5" customHeight="1">
      <c r="A64" s="305">
        <v>7</v>
      </c>
      <c r="B64" s="306" t="s">
        <v>19</v>
      </c>
      <c r="C64" s="306" t="s">
        <v>19</v>
      </c>
      <c r="D64" s="307">
        <v>2</v>
      </c>
      <c r="E64" s="306" t="s">
        <v>34</v>
      </c>
      <c r="F64" s="306" t="s">
        <v>54</v>
      </c>
      <c r="G64" s="307">
        <v>5</v>
      </c>
      <c r="H64" s="307">
        <v>1</v>
      </c>
      <c r="I64" s="306" t="s">
        <v>22</v>
      </c>
      <c r="J64" s="306" t="s">
        <v>22</v>
      </c>
      <c r="K64" s="306" t="s">
        <v>19</v>
      </c>
      <c r="L64" s="306" t="s">
        <v>66</v>
      </c>
      <c r="M64" s="308">
        <v>2</v>
      </c>
      <c r="N64" s="318" t="s">
        <v>174</v>
      </c>
      <c r="O64" s="310">
        <v>1800000</v>
      </c>
      <c r="P64" s="311"/>
      <c r="Q64" s="311"/>
      <c r="R64" s="311"/>
      <c r="S64" s="311"/>
      <c r="T64" s="311"/>
      <c r="U64" s="311"/>
      <c r="V64" s="311">
        <f>'[1]SPJ FUNGSIONAL '!$X$64</f>
        <v>1200000</v>
      </c>
      <c r="W64" s="311">
        <v>300000</v>
      </c>
      <c r="X64" s="311">
        <f t="shared" si="22"/>
        <v>1500000</v>
      </c>
      <c r="Y64" s="311">
        <f t="shared" si="23"/>
        <v>1500000</v>
      </c>
      <c r="Z64" s="310">
        <f t="shared" si="17"/>
        <v>300000</v>
      </c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</row>
    <row r="65" spans="1:38" s="268" customFormat="1" ht="25" customHeight="1">
      <c r="A65" s="305"/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8"/>
      <c r="N65" s="309"/>
      <c r="O65" s="310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0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</row>
    <row r="66" spans="1:38" s="268" customFormat="1" ht="36" customHeight="1">
      <c r="A66" s="295">
        <v>7</v>
      </c>
      <c r="B66" s="296" t="s">
        <v>19</v>
      </c>
      <c r="C66" s="296" t="s">
        <v>19</v>
      </c>
      <c r="D66" s="297">
        <v>2</v>
      </c>
      <c r="E66" s="296" t="s">
        <v>34</v>
      </c>
      <c r="F66" s="296" t="s">
        <v>32</v>
      </c>
      <c r="G66" s="297"/>
      <c r="H66" s="297"/>
      <c r="I66" s="297"/>
      <c r="J66" s="297"/>
      <c r="K66" s="297"/>
      <c r="L66" s="297"/>
      <c r="M66" s="298"/>
      <c r="N66" s="321" t="s">
        <v>61</v>
      </c>
      <c r="O66" s="300">
        <f>O67</f>
        <v>50862250</v>
      </c>
      <c r="P66" s="301">
        <f>P67</f>
        <v>0</v>
      </c>
      <c r="Q66" s="301">
        <f>Q67</f>
        <v>0</v>
      </c>
      <c r="R66" s="324">
        <f>P66+Q66</f>
        <v>0</v>
      </c>
      <c r="S66" s="301">
        <f t="shared" ref="S66:T69" si="24">S67</f>
        <v>0</v>
      </c>
      <c r="T66" s="301">
        <f t="shared" si="24"/>
        <v>0</v>
      </c>
      <c r="U66" s="324">
        <f>S66+T66</f>
        <v>0</v>
      </c>
      <c r="V66" s="301">
        <f t="shared" ref="V66:W69" si="25">V67</f>
        <v>21554950</v>
      </c>
      <c r="W66" s="301">
        <f t="shared" si="25"/>
        <v>16666750</v>
      </c>
      <c r="X66" s="301">
        <f>V66+W66</f>
        <v>38221700</v>
      </c>
      <c r="Y66" s="301">
        <f>R66+U66+X66</f>
        <v>38221700</v>
      </c>
      <c r="Z66" s="300">
        <f>O66-Y66</f>
        <v>12640550</v>
      </c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</row>
    <row r="67" spans="1:38" s="268" customFormat="1" ht="36" customHeight="1">
      <c r="A67" s="288">
        <v>7</v>
      </c>
      <c r="B67" s="302" t="s">
        <v>19</v>
      </c>
      <c r="C67" s="302" t="s">
        <v>19</v>
      </c>
      <c r="D67" s="289">
        <v>2</v>
      </c>
      <c r="E67" s="302" t="s">
        <v>34</v>
      </c>
      <c r="F67" s="302" t="s">
        <v>32</v>
      </c>
      <c r="G67" s="289">
        <v>5</v>
      </c>
      <c r="H67" s="289">
        <v>1</v>
      </c>
      <c r="I67" s="302" t="s">
        <v>22</v>
      </c>
      <c r="J67" s="289"/>
      <c r="K67" s="289"/>
      <c r="L67" s="289"/>
      <c r="M67" s="290"/>
      <c r="N67" s="322" t="s">
        <v>49</v>
      </c>
      <c r="O67" s="292">
        <f>O68</f>
        <v>50862250</v>
      </c>
      <c r="P67" s="303">
        <f t="shared" ref="P67:Q69" si="26">P68</f>
        <v>0</v>
      </c>
      <c r="Q67" s="303">
        <f t="shared" si="26"/>
        <v>0</v>
      </c>
      <c r="R67" s="304">
        <f>P67+Q67</f>
        <v>0</v>
      </c>
      <c r="S67" s="303">
        <f t="shared" si="24"/>
        <v>0</v>
      </c>
      <c r="T67" s="303">
        <f t="shared" si="24"/>
        <v>0</v>
      </c>
      <c r="U67" s="304">
        <f>S67+T67</f>
        <v>0</v>
      </c>
      <c r="V67" s="303">
        <f t="shared" si="25"/>
        <v>21554950</v>
      </c>
      <c r="W67" s="303">
        <f t="shared" si="25"/>
        <v>16666750</v>
      </c>
      <c r="X67" s="304">
        <f>V67+W67</f>
        <v>38221700</v>
      </c>
      <c r="Y67" s="304">
        <f>R67+U67+X67</f>
        <v>38221700</v>
      </c>
      <c r="Z67" s="317">
        <f>O67-Y67</f>
        <v>12640550</v>
      </c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</row>
    <row r="68" spans="1:38" s="268" customFormat="1" ht="36" customHeight="1">
      <c r="A68" s="288">
        <v>7</v>
      </c>
      <c r="B68" s="302" t="s">
        <v>19</v>
      </c>
      <c r="C68" s="302" t="s">
        <v>19</v>
      </c>
      <c r="D68" s="289">
        <v>2</v>
      </c>
      <c r="E68" s="302" t="s">
        <v>34</v>
      </c>
      <c r="F68" s="302" t="s">
        <v>32</v>
      </c>
      <c r="G68" s="289">
        <v>5</v>
      </c>
      <c r="H68" s="289">
        <v>1</v>
      </c>
      <c r="I68" s="302" t="s">
        <v>22</v>
      </c>
      <c r="J68" s="302" t="s">
        <v>19</v>
      </c>
      <c r="K68" s="289"/>
      <c r="L68" s="289"/>
      <c r="M68" s="290"/>
      <c r="N68" s="322" t="s">
        <v>50</v>
      </c>
      <c r="O68" s="292">
        <f>O69</f>
        <v>50862250</v>
      </c>
      <c r="P68" s="303">
        <f t="shared" si="26"/>
        <v>0</v>
      </c>
      <c r="Q68" s="303">
        <f t="shared" si="26"/>
        <v>0</v>
      </c>
      <c r="R68" s="304">
        <f>P68+Q68</f>
        <v>0</v>
      </c>
      <c r="S68" s="303">
        <f t="shared" si="24"/>
        <v>0</v>
      </c>
      <c r="T68" s="303">
        <f t="shared" si="24"/>
        <v>0</v>
      </c>
      <c r="U68" s="304">
        <f>S68+T68</f>
        <v>0</v>
      </c>
      <c r="V68" s="303">
        <f t="shared" si="25"/>
        <v>21554950</v>
      </c>
      <c r="W68" s="303">
        <f t="shared" si="25"/>
        <v>16666750</v>
      </c>
      <c r="X68" s="304">
        <f>V68+W68</f>
        <v>38221700</v>
      </c>
      <c r="Y68" s="304">
        <f>R68+U68+X68</f>
        <v>38221700</v>
      </c>
      <c r="Z68" s="317">
        <f>O68-Y68</f>
        <v>12640550</v>
      </c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</row>
    <row r="69" spans="1:38" s="268" customFormat="1" ht="36" customHeight="1">
      <c r="A69" s="288">
        <v>7</v>
      </c>
      <c r="B69" s="302" t="s">
        <v>19</v>
      </c>
      <c r="C69" s="302" t="s">
        <v>19</v>
      </c>
      <c r="D69" s="289">
        <v>2</v>
      </c>
      <c r="E69" s="302" t="s">
        <v>34</v>
      </c>
      <c r="F69" s="302" t="s">
        <v>32</v>
      </c>
      <c r="G69" s="289">
        <v>5</v>
      </c>
      <c r="H69" s="289">
        <v>1</v>
      </c>
      <c r="I69" s="302" t="s">
        <v>22</v>
      </c>
      <c r="J69" s="302" t="s">
        <v>19</v>
      </c>
      <c r="K69" s="302" t="s">
        <v>19</v>
      </c>
      <c r="L69" s="289"/>
      <c r="M69" s="290"/>
      <c r="N69" s="322" t="s">
        <v>51</v>
      </c>
      <c r="O69" s="292">
        <f>O70</f>
        <v>50862250</v>
      </c>
      <c r="P69" s="303">
        <f t="shared" si="26"/>
        <v>0</v>
      </c>
      <c r="Q69" s="303">
        <f t="shared" si="26"/>
        <v>0</v>
      </c>
      <c r="R69" s="304">
        <f>P69+Q69</f>
        <v>0</v>
      </c>
      <c r="S69" s="303">
        <f t="shared" si="24"/>
        <v>0</v>
      </c>
      <c r="T69" s="303">
        <f t="shared" si="24"/>
        <v>0</v>
      </c>
      <c r="U69" s="304">
        <f>S69+T69</f>
        <v>0</v>
      </c>
      <c r="V69" s="303">
        <f t="shared" si="25"/>
        <v>21554950</v>
      </c>
      <c r="W69" s="303">
        <f t="shared" si="25"/>
        <v>16666750</v>
      </c>
      <c r="X69" s="304">
        <f>V69+W69</f>
        <v>38221700</v>
      </c>
      <c r="Y69" s="304">
        <f>R69+U69+X69</f>
        <v>38221700</v>
      </c>
      <c r="Z69" s="317">
        <f>O69-Y69</f>
        <v>12640550</v>
      </c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36" customHeight="1">
      <c r="A70" s="305">
        <v>7</v>
      </c>
      <c r="B70" s="306" t="s">
        <v>19</v>
      </c>
      <c r="C70" s="306" t="s">
        <v>19</v>
      </c>
      <c r="D70" s="307">
        <v>2</v>
      </c>
      <c r="E70" s="306" t="s">
        <v>34</v>
      </c>
      <c r="F70" s="306" t="s">
        <v>32</v>
      </c>
      <c r="G70" s="307">
        <v>5</v>
      </c>
      <c r="H70" s="307">
        <v>1</v>
      </c>
      <c r="I70" s="306" t="s">
        <v>22</v>
      </c>
      <c r="J70" s="306" t="s">
        <v>19</v>
      </c>
      <c r="K70" s="306" t="s">
        <v>19</v>
      </c>
      <c r="L70" s="306" t="s">
        <v>56</v>
      </c>
      <c r="M70" s="308">
        <v>6</v>
      </c>
      <c r="N70" s="318" t="s">
        <v>62</v>
      </c>
      <c r="O70" s="310">
        <v>50862250</v>
      </c>
      <c r="P70" s="311"/>
      <c r="Q70" s="311"/>
      <c r="R70" s="311">
        <f>P70+Q70</f>
        <v>0</v>
      </c>
      <c r="S70" s="311"/>
      <c r="T70" s="311">
        <v>0</v>
      </c>
      <c r="U70" s="311">
        <f>S70+T70</f>
        <v>0</v>
      </c>
      <c r="V70" s="311">
        <f>'[1]SPJ FUNGSIONAL '!$X$70</f>
        <v>21554950</v>
      </c>
      <c r="W70" s="311">
        <v>16666750</v>
      </c>
      <c r="X70" s="311">
        <f>V70+W70</f>
        <v>38221700</v>
      </c>
      <c r="Y70" s="311">
        <f>R70+U70+X70</f>
        <v>38221700</v>
      </c>
      <c r="Z70" s="310">
        <f>O70-Y70</f>
        <v>12640550</v>
      </c>
      <c r="AA70" s="267"/>
      <c r="AB70" s="267"/>
      <c r="AC70" s="267"/>
      <c r="AD70" s="267"/>
      <c r="AE70" s="267">
        <v>595000</v>
      </c>
      <c r="AF70" s="267"/>
      <c r="AG70" s="267"/>
      <c r="AH70" s="267"/>
      <c r="AI70" s="267"/>
      <c r="AJ70" s="267"/>
      <c r="AK70" s="267"/>
      <c r="AL70" s="267"/>
    </row>
    <row r="71" spans="1:38" s="268" customFormat="1" ht="25" customHeight="1">
      <c r="A71" s="32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26"/>
      <c r="N71" s="309"/>
      <c r="O71" s="310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0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36" customHeight="1">
      <c r="A72" s="295">
        <v>7</v>
      </c>
      <c r="B72" s="296" t="s">
        <v>19</v>
      </c>
      <c r="C72" s="296" t="s">
        <v>19</v>
      </c>
      <c r="D72" s="297">
        <v>2</v>
      </c>
      <c r="E72" s="296" t="s">
        <v>34</v>
      </c>
      <c r="F72" s="296" t="s">
        <v>40</v>
      </c>
      <c r="G72" s="297"/>
      <c r="H72" s="297"/>
      <c r="I72" s="297"/>
      <c r="J72" s="297"/>
      <c r="K72" s="297"/>
      <c r="L72" s="297"/>
      <c r="M72" s="298"/>
      <c r="N72" s="321" t="s">
        <v>63</v>
      </c>
      <c r="O72" s="300">
        <f t="shared" ref="O72:Q73" si="27">O73</f>
        <v>252381500</v>
      </c>
      <c r="P72" s="301">
        <f t="shared" si="27"/>
        <v>0</v>
      </c>
      <c r="Q72" s="301">
        <f t="shared" si="27"/>
        <v>0</v>
      </c>
      <c r="R72" s="301">
        <f>P72+Q72</f>
        <v>0</v>
      </c>
      <c r="S72" s="301">
        <f>S73</f>
        <v>0</v>
      </c>
      <c r="T72" s="301">
        <f>T73</f>
        <v>0</v>
      </c>
      <c r="U72" s="301">
        <f t="shared" ref="U72:U79" si="28">S72+T72</f>
        <v>0</v>
      </c>
      <c r="V72" s="301">
        <f>V73</f>
        <v>199308593</v>
      </c>
      <c r="W72" s="301">
        <f>W73</f>
        <v>13809650</v>
      </c>
      <c r="X72" s="301">
        <f t="shared" ref="X72:X79" si="29">V72+W72</f>
        <v>213118243</v>
      </c>
      <c r="Y72" s="301">
        <f>R72+U72+X72</f>
        <v>213118243</v>
      </c>
      <c r="Z72" s="300">
        <f>O72-Y72</f>
        <v>39263257</v>
      </c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32.5" customHeight="1">
      <c r="A73" s="327">
        <v>7</v>
      </c>
      <c r="B73" s="328" t="s">
        <v>19</v>
      </c>
      <c r="C73" s="328" t="s">
        <v>19</v>
      </c>
      <c r="D73" s="328" t="s">
        <v>64</v>
      </c>
      <c r="E73" s="328" t="s">
        <v>34</v>
      </c>
      <c r="F73" s="328" t="s">
        <v>40</v>
      </c>
      <c r="G73" s="289">
        <v>5</v>
      </c>
      <c r="H73" s="289">
        <v>1</v>
      </c>
      <c r="I73" s="302" t="s">
        <v>22</v>
      </c>
      <c r="J73" s="315"/>
      <c r="K73" s="315"/>
      <c r="L73" s="315"/>
      <c r="M73" s="326"/>
      <c r="N73" s="322" t="s">
        <v>49</v>
      </c>
      <c r="O73" s="317">
        <f t="shared" si="27"/>
        <v>252381500</v>
      </c>
      <c r="P73" s="304">
        <f t="shared" si="27"/>
        <v>0</v>
      </c>
      <c r="Q73" s="304">
        <f t="shared" si="27"/>
        <v>0</v>
      </c>
      <c r="R73" s="304">
        <f t="shared" ref="R73:R79" si="30">P73+Q73</f>
        <v>0</v>
      </c>
      <c r="S73" s="304">
        <f>S74</f>
        <v>0</v>
      </c>
      <c r="T73" s="304">
        <f>T74</f>
        <v>0</v>
      </c>
      <c r="U73" s="304">
        <f t="shared" si="28"/>
        <v>0</v>
      </c>
      <c r="V73" s="304">
        <f>V74</f>
        <v>199308593</v>
      </c>
      <c r="W73" s="304">
        <f>W74</f>
        <v>13809650</v>
      </c>
      <c r="X73" s="304">
        <f t="shared" si="29"/>
        <v>213118243</v>
      </c>
      <c r="Y73" s="304">
        <f t="shared" ref="Y73:Y79" si="31">R73+U73+X73</f>
        <v>213118243</v>
      </c>
      <c r="Z73" s="317">
        <f t="shared" ref="Z73:Z79" si="32">O73-Y73</f>
        <v>39263257</v>
      </c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32.5" customHeight="1">
      <c r="A74" s="327">
        <v>7</v>
      </c>
      <c r="B74" s="328" t="s">
        <v>19</v>
      </c>
      <c r="C74" s="328" t="s">
        <v>19</v>
      </c>
      <c r="D74" s="328" t="s">
        <v>64</v>
      </c>
      <c r="E74" s="328" t="s">
        <v>34</v>
      </c>
      <c r="F74" s="328" t="s">
        <v>40</v>
      </c>
      <c r="G74" s="289">
        <v>5</v>
      </c>
      <c r="H74" s="289">
        <v>1</v>
      </c>
      <c r="I74" s="302" t="s">
        <v>22</v>
      </c>
      <c r="J74" s="328" t="s">
        <v>19</v>
      </c>
      <c r="K74" s="315"/>
      <c r="L74" s="315"/>
      <c r="M74" s="326"/>
      <c r="N74" s="322" t="s">
        <v>65</v>
      </c>
      <c r="O74" s="317">
        <f>O75+O77</f>
        <v>252381500</v>
      </c>
      <c r="P74" s="304">
        <f>P75+P77</f>
        <v>0</v>
      </c>
      <c r="Q74" s="304">
        <f>Q75+Q77</f>
        <v>0</v>
      </c>
      <c r="R74" s="304">
        <f t="shared" si="30"/>
        <v>0</v>
      </c>
      <c r="S74" s="304">
        <f>S75+S77</f>
        <v>0</v>
      </c>
      <c r="T74" s="304">
        <f>T75+T77</f>
        <v>0</v>
      </c>
      <c r="U74" s="304">
        <f t="shared" si="28"/>
        <v>0</v>
      </c>
      <c r="V74" s="304">
        <f>V75+V77</f>
        <v>199308593</v>
      </c>
      <c r="W74" s="304">
        <f>W75+W77</f>
        <v>13809650</v>
      </c>
      <c r="X74" s="304">
        <f t="shared" si="29"/>
        <v>213118243</v>
      </c>
      <c r="Y74" s="304">
        <f t="shared" si="31"/>
        <v>213118243</v>
      </c>
      <c r="Z74" s="317">
        <f t="shared" si="32"/>
        <v>39263257</v>
      </c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32.5" customHeight="1">
      <c r="A75" s="288">
        <v>7</v>
      </c>
      <c r="B75" s="302" t="s">
        <v>19</v>
      </c>
      <c r="C75" s="302" t="s">
        <v>19</v>
      </c>
      <c r="D75" s="289">
        <v>2</v>
      </c>
      <c r="E75" s="302" t="s">
        <v>34</v>
      </c>
      <c r="F75" s="302" t="s">
        <v>32</v>
      </c>
      <c r="G75" s="289">
        <v>5</v>
      </c>
      <c r="H75" s="289">
        <v>1</v>
      </c>
      <c r="I75" s="302" t="s">
        <v>22</v>
      </c>
      <c r="J75" s="302" t="s">
        <v>19</v>
      </c>
      <c r="K75" s="302" t="s">
        <v>19</v>
      </c>
      <c r="L75" s="315"/>
      <c r="M75" s="326"/>
      <c r="N75" s="322" t="s">
        <v>51</v>
      </c>
      <c r="O75" s="317">
        <f>O76</f>
        <v>78355000</v>
      </c>
      <c r="P75" s="304">
        <f>P76</f>
        <v>0</v>
      </c>
      <c r="Q75" s="304">
        <f>Q76</f>
        <v>0</v>
      </c>
      <c r="R75" s="304">
        <f t="shared" si="30"/>
        <v>0</v>
      </c>
      <c r="S75" s="304">
        <f>S76</f>
        <v>0</v>
      </c>
      <c r="T75" s="304">
        <f>T76</f>
        <v>0</v>
      </c>
      <c r="U75" s="304">
        <f t="shared" si="28"/>
        <v>0</v>
      </c>
      <c r="V75" s="304">
        <f>V76</f>
        <v>55701000</v>
      </c>
      <c r="W75" s="304">
        <f>W76</f>
        <v>12059650</v>
      </c>
      <c r="X75" s="304">
        <f t="shared" si="29"/>
        <v>67760650</v>
      </c>
      <c r="Y75" s="304">
        <f t="shared" si="31"/>
        <v>67760650</v>
      </c>
      <c r="Z75" s="317">
        <f t="shared" si="32"/>
        <v>10594350</v>
      </c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32.5" customHeight="1">
      <c r="A76" s="305">
        <v>7</v>
      </c>
      <c r="B76" s="306" t="s">
        <v>19</v>
      </c>
      <c r="C76" s="306" t="s">
        <v>19</v>
      </c>
      <c r="D76" s="307">
        <v>2</v>
      </c>
      <c r="E76" s="306" t="s">
        <v>34</v>
      </c>
      <c r="F76" s="306" t="s">
        <v>32</v>
      </c>
      <c r="G76" s="307">
        <v>5</v>
      </c>
      <c r="H76" s="307">
        <v>1</v>
      </c>
      <c r="I76" s="306" t="s">
        <v>22</v>
      </c>
      <c r="J76" s="306" t="s">
        <v>19</v>
      </c>
      <c r="K76" s="306" t="s">
        <v>19</v>
      </c>
      <c r="L76" s="306" t="s">
        <v>66</v>
      </c>
      <c r="M76" s="308">
        <v>2</v>
      </c>
      <c r="N76" s="309" t="s">
        <v>67</v>
      </c>
      <c r="O76" s="310">
        <v>78355000</v>
      </c>
      <c r="P76" s="311"/>
      <c r="Q76" s="311"/>
      <c r="R76" s="311">
        <f t="shared" si="30"/>
        <v>0</v>
      </c>
      <c r="S76" s="311"/>
      <c r="T76" s="311"/>
      <c r="U76" s="311">
        <f t="shared" si="28"/>
        <v>0</v>
      </c>
      <c r="V76" s="311">
        <f>'[1]SPJ FUNGSIONAL '!$X$76</f>
        <v>55701000</v>
      </c>
      <c r="W76" s="311">
        <v>12059650</v>
      </c>
      <c r="X76" s="311">
        <f t="shared" si="29"/>
        <v>67760650</v>
      </c>
      <c r="Y76" s="311">
        <f t="shared" si="31"/>
        <v>67760650</v>
      </c>
      <c r="Z76" s="310">
        <f t="shared" si="32"/>
        <v>10594350</v>
      </c>
      <c r="AA76" s="267"/>
      <c r="AB76" s="267"/>
      <c r="AC76" s="267"/>
      <c r="AD76" s="267"/>
      <c r="AE76" s="267">
        <v>3770550</v>
      </c>
      <c r="AF76" s="267"/>
      <c r="AG76" s="267"/>
      <c r="AH76" s="267"/>
      <c r="AI76" s="267"/>
      <c r="AJ76" s="267"/>
      <c r="AK76" s="267"/>
      <c r="AL76" s="267"/>
    </row>
    <row r="77" spans="1:38" s="268" customFormat="1" ht="32.5" customHeight="1">
      <c r="A77" s="327">
        <v>7</v>
      </c>
      <c r="B77" s="328" t="s">
        <v>19</v>
      </c>
      <c r="C77" s="328" t="s">
        <v>19</v>
      </c>
      <c r="D77" s="328" t="s">
        <v>64</v>
      </c>
      <c r="E77" s="328" t="s">
        <v>34</v>
      </c>
      <c r="F77" s="328" t="s">
        <v>40</v>
      </c>
      <c r="G77" s="289">
        <v>5</v>
      </c>
      <c r="H77" s="289">
        <v>1</v>
      </c>
      <c r="I77" s="302" t="s">
        <v>22</v>
      </c>
      <c r="J77" s="328" t="s">
        <v>54</v>
      </c>
      <c r="K77" s="315"/>
      <c r="L77" s="315"/>
      <c r="M77" s="326"/>
      <c r="N77" s="322" t="s">
        <v>68</v>
      </c>
      <c r="O77" s="317">
        <f t="shared" ref="O77:Q78" si="33">O78</f>
        <v>174026500</v>
      </c>
      <c r="P77" s="304">
        <f t="shared" si="33"/>
        <v>0</v>
      </c>
      <c r="Q77" s="304">
        <f t="shared" si="33"/>
        <v>0</v>
      </c>
      <c r="R77" s="304">
        <f t="shared" si="30"/>
        <v>0</v>
      </c>
      <c r="S77" s="304">
        <f>S78</f>
        <v>0</v>
      </c>
      <c r="T77" s="304">
        <f>T78</f>
        <v>0</v>
      </c>
      <c r="U77" s="304">
        <f t="shared" si="28"/>
        <v>0</v>
      </c>
      <c r="V77" s="304">
        <f>V78</f>
        <v>143607593</v>
      </c>
      <c r="W77" s="304">
        <f>W78</f>
        <v>1750000</v>
      </c>
      <c r="X77" s="304">
        <f t="shared" si="29"/>
        <v>145357593</v>
      </c>
      <c r="Y77" s="304">
        <f t="shared" si="31"/>
        <v>145357593</v>
      </c>
      <c r="Z77" s="317">
        <f t="shared" si="32"/>
        <v>28668907</v>
      </c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32.5" customHeight="1">
      <c r="A78" s="327">
        <v>7</v>
      </c>
      <c r="B78" s="328" t="s">
        <v>19</v>
      </c>
      <c r="C78" s="328" t="s">
        <v>19</v>
      </c>
      <c r="D78" s="328" t="s">
        <v>64</v>
      </c>
      <c r="E78" s="328" t="s">
        <v>34</v>
      </c>
      <c r="F78" s="328" t="s">
        <v>40</v>
      </c>
      <c r="G78" s="289">
        <v>5</v>
      </c>
      <c r="H78" s="289">
        <v>1</v>
      </c>
      <c r="I78" s="302" t="s">
        <v>22</v>
      </c>
      <c r="J78" s="328" t="s">
        <v>54</v>
      </c>
      <c r="K78" s="328" t="s">
        <v>19</v>
      </c>
      <c r="L78" s="329"/>
      <c r="M78" s="330"/>
      <c r="N78" s="323" t="s">
        <v>69</v>
      </c>
      <c r="O78" s="317">
        <f t="shared" si="33"/>
        <v>174026500</v>
      </c>
      <c r="P78" s="304">
        <f t="shared" si="33"/>
        <v>0</v>
      </c>
      <c r="Q78" s="304">
        <f t="shared" si="33"/>
        <v>0</v>
      </c>
      <c r="R78" s="304">
        <f t="shared" si="30"/>
        <v>0</v>
      </c>
      <c r="S78" s="304">
        <f>S79</f>
        <v>0</v>
      </c>
      <c r="T78" s="304">
        <f>T79</f>
        <v>0</v>
      </c>
      <c r="U78" s="304">
        <f t="shared" si="28"/>
        <v>0</v>
      </c>
      <c r="V78" s="304">
        <f>V79</f>
        <v>143607593</v>
      </c>
      <c r="W78" s="304">
        <f>W79</f>
        <v>1750000</v>
      </c>
      <c r="X78" s="304">
        <f t="shared" si="29"/>
        <v>145357593</v>
      </c>
      <c r="Y78" s="304">
        <f t="shared" si="31"/>
        <v>145357593</v>
      </c>
      <c r="Z78" s="317">
        <f t="shared" si="32"/>
        <v>28668907</v>
      </c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32.5" customHeight="1">
      <c r="A79" s="325">
        <v>7</v>
      </c>
      <c r="B79" s="314" t="s">
        <v>19</v>
      </c>
      <c r="C79" s="314" t="s">
        <v>19</v>
      </c>
      <c r="D79" s="314" t="s">
        <v>64</v>
      </c>
      <c r="E79" s="314" t="s">
        <v>34</v>
      </c>
      <c r="F79" s="314" t="s">
        <v>40</v>
      </c>
      <c r="G79" s="307">
        <v>5</v>
      </c>
      <c r="H79" s="307">
        <v>1</v>
      </c>
      <c r="I79" s="306" t="s">
        <v>22</v>
      </c>
      <c r="J79" s="314" t="s">
        <v>54</v>
      </c>
      <c r="K79" s="314" t="s">
        <v>19</v>
      </c>
      <c r="L79" s="314" t="s">
        <v>27</v>
      </c>
      <c r="M79" s="326">
        <v>1</v>
      </c>
      <c r="N79" s="309" t="s">
        <v>70</v>
      </c>
      <c r="O79" s="310">
        <v>174026500</v>
      </c>
      <c r="P79" s="311"/>
      <c r="Q79" s="311"/>
      <c r="R79" s="311">
        <f t="shared" si="30"/>
        <v>0</v>
      </c>
      <c r="S79" s="311"/>
      <c r="T79" s="311"/>
      <c r="U79" s="311">
        <f t="shared" si="28"/>
        <v>0</v>
      </c>
      <c r="V79" s="311">
        <f>'[1]SPJ FUNGSIONAL '!$X$79</f>
        <v>143607593</v>
      </c>
      <c r="W79" s="311">
        <v>1750000</v>
      </c>
      <c r="X79" s="311">
        <f t="shared" si="29"/>
        <v>145357593</v>
      </c>
      <c r="Y79" s="311">
        <f t="shared" si="31"/>
        <v>145357593</v>
      </c>
      <c r="Z79" s="310">
        <f t="shared" si="32"/>
        <v>28668907</v>
      </c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25" customHeight="1">
      <c r="A80" s="32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26"/>
      <c r="N80" s="309"/>
      <c r="O80" s="310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0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54.75" customHeight="1">
      <c r="A81" s="279">
        <v>7</v>
      </c>
      <c r="B81" s="280" t="s">
        <v>19</v>
      </c>
      <c r="C81" s="280" t="s">
        <v>19</v>
      </c>
      <c r="D81" s="281">
        <v>2</v>
      </c>
      <c r="E81" s="280" t="s">
        <v>36</v>
      </c>
      <c r="F81" s="281"/>
      <c r="G81" s="281"/>
      <c r="H81" s="281"/>
      <c r="I81" s="281"/>
      <c r="J81" s="281"/>
      <c r="K81" s="281"/>
      <c r="L81" s="281"/>
      <c r="M81" s="282"/>
      <c r="N81" s="283" t="s">
        <v>244</v>
      </c>
      <c r="O81" s="284">
        <f>O83</f>
        <v>68000000</v>
      </c>
      <c r="P81" s="285">
        <f>P85+P96+P111+P117</f>
        <v>0</v>
      </c>
      <c r="Q81" s="285">
        <f>Q85+Q96+Q111+Q117</f>
        <v>0</v>
      </c>
      <c r="R81" s="285">
        <f>P81+Q81</f>
        <v>0</v>
      </c>
      <c r="S81" s="284">
        <f t="shared" ref="S81" si="34">S83</f>
        <v>67320000</v>
      </c>
      <c r="T81" s="284">
        <f>T83</f>
        <v>0</v>
      </c>
      <c r="U81" s="285">
        <f>S81+T81</f>
        <v>67320000</v>
      </c>
      <c r="V81" s="284">
        <f t="shared" ref="V81:W81" si="35">V83</f>
        <v>680000</v>
      </c>
      <c r="W81" s="284">
        <f t="shared" si="35"/>
        <v>0</v>
      </c>
      <c r="X81" s="285">
        <f>V81+W81</f>
        <v>680000</v>
      </c>
      <c r="Y81" s="286">
        <f>R81+U81+X81</f>
        <v>68000000</v>
      </c>
      <c r="Z81" s="287">
        <f>O81-Y81</f>
        <v>0</v>
      </c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78" customFormat="1" ht="13.5" customHeight="1">
      <c r="A82" s="288"/>
      <c r="B82" s="302"/>
      <c r="C82" s="302"/>
      <c r="D82" s="289"/>
      <c r="E82" s="302"/>
      <c r="F82" s="289"/>
      <c r="G82" s="289"/>
      <c r="H82" s="289"/>
      <c r="I82" s="289"/>
      <c r="J82" s="289"/>
      <c r="K82" s="289"/>
      <c r="L82" s="289"/>
      <c r="M82" s="290"/>
      <c r="N82" s="322"/>
      <c r="O82" s="292"/>
      <c r="P82" s="303"/>
      <c r="Q82" s="303"/>
      <c r="R82" s="303"/>
      <c r="S82" s="292"/>
      <c r="T82" s="292"/>
      <c r="U82" s="303"/>
      <c r="V82" s="292"/>
      <c r="W82" s="292"/>
      <c r="X82" s="303"/>
      <c r="Y82" s="275"/>
      <c r="Z82" s="331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</row>
    <row r="83" spans="1:38" s="278" customFormat="1" ht="30" customHeight="1">
      <c r="A83" s="332">
        <v>7</v>
      </c>
      <c r="B83" s="333" t="s">
        <v>19</v>
      </c>
      <c r="C83" s="333" t="s">
        <v>19</v>
      </c>
      <c r="D83" s="333" t="s">
        <v>64</v>
      </c>
      <c r="E83" s="333" t="s">
        <v>36</v>
      </c>
      <c r="F83" s="333" t="s">
        <v>34</v>
      </c>
      <c r="G83" s="334"/>
      <c r="H83" s="334"/>
      <c r="I83" s="333"/>
      <c r="J83" s="335"/>
      <c r="K83" s="335"/>
      <c r="L83" s="335"/>
      <c r="M83" s="336"/>
      <c r="N83" s="337" t="s">
        <v>248</v>
      </c>
      <c r="O83" s="338">
        <f>O84+O88</f>
        <v>68000000</v>
      </c>
      <c r="P83" s="339"/>
      <c r="Q83" s="339"/>
      <c r="R83" s="339"/>
      <c r="S83" s="338">
        <f t="shared" ref="S83:T83" si="36">S84+S88</f>
        <v>67320000</v>
      </c>
      <c r="T83" s="338">
        <f t="shared" si="36"/>
        <v>0</v>
      </c>
      <c r="U83" s="339">
        <f>SUM(S83:T83)</f>
        <v>67320000</v>
      </c>
      <c r="V83" s="338">
        <f t="shared" ref="V83:W83" si="37">V84+V88</f>
        <v>680000</v>
      </c>
      <c r="W83" s="338">
        <f t="shared" si="37"/>
        <v>0</v>
      </c>
      <c r="X83" s="301">
        <f t="shared" ref="X83" si="38">V83+W83</f>
        <v>680000</v>
      </c>
      <c r="Y83" s="301">
        <f>R83+U83+X83</f>
        <v>68000000</v>
      </c>
      <c r="Z83" s="300">
        <f>O83-Y83</f>
        <v>0</v>
      </c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</row>
    <row r="84" spans="1:38" s="268" customFormat="1" ht="31.5" customHeight="1">
      <c r="A84" s="327">
        <v>7</v>
      </c>
      <c r="B84" s="328" t="s">
        <v>19</v>
      </c>
      <c r="C84" s="328" t="s">
        <v>19</v>
      </c>
      <c r="D84" s="328" t="s">
        <v>64</v>
      </c>
      <c r="E84" s="328" t="s">
        <v>36</v>
      </c>
      <c r="F84" s="328" t="s">
        <v>34</v>
      </c>
      <c r="G84" s="289">
        <v>5</v>
      </c>
      <c r="H84" s="289">
        <v>1</v>
      </c>
      <c r="I84" s="302"/>
      <c r="J84" s="315"/>
      <c r="K84" s="315"/>
      <c r="L84" s="315"/>
      <c r="M84" s="326"/>
      <c r="N84" s="322" t="s">
        <v>25</v>
      </c>
      <c r="O84" s="317">
        <f>O85</f>
        <v>680000</v>
      </c>
      <c r="P84" s="311"/>
      <c r="Q84" s="311"/>
      <c r="R84" s="311"/>
      <c r="S84" s="311"/>
      <c r="T84" s="311"/>
      <c r="U84" s="311"/>
      <c r="V84" s="317">
        <f t="shared" ref="V84:W86" si="39">V85</f>
        <v>680000</v>
      </c>
      <c r="W84" s="317">
        <f t="shared" si="39"/>
        <v>0</v>
      </c>
      <c r="X84" s="304">
        <f t="shared" ref="X84:X92" si="40">V84+W84</f>
        <v>680000</v>
      </c>
      <c r="Y84" s="304">
        <f t="shared" ref="Y84:Y92" si="41">R84+U84+X84</f>
        <v>680000</v>
      </c>
      <c r="Z84" s="317">
        <f t="shared" ref="Z84:Z92" si="42">O84-Y84</f>
        <v>0</v>
      </c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48" customHeight="1">
      <c r="A85" s="327">
        <v>7</v>
      </c>
      <c r="B85" s="328" t="s">
        <v>19</v>
      </c>
      <c r="C85" s="328" t="s">
        <v>19</v>
      </c>
      <c r="D85" s="328" t="s">
        <v>64</v>
      </c>
      <c r="E85" s="328" t="s">
        <v>36</v>
      </c>
      <c r="F85" s="328" t="s">
        <v>34</v>
      </c>
      <c r="G85" s="289">
        <v>5</v>
      </c>
      <c r="H85" s="289">
        <v>1</v>
      </c>
      <c r="I85" s="302" t="s">
        <v>19</v>
      </c>
      <c r="J85" s="328" t="s">
        <v>30</v>
      </c>
      <c r="K85" s="315"/>
      <c r="L85" s="315"/>
      <c r="M85" s="326"/>
      <c r="N85" s="316" t="s">
        <v>245</v>
      </c>
      <c r="O85" s="317">
        <f>O86</f>
        <v>680000</v>
      </c>
      <c r="P85" s="311"/>
      <c r="Q85" s="311"/>
      <c r="R85" s="311"/>
      <c r="S85" s="311"/>
      <c r="T85" s="311"/>
      <c r="U85" s="311"/>
      <c r="V85" s="317">
        <f t="shared" si="39"/>
        <v>680000</v>
      </c>
      <c r="W85" s="317">
        <f t="shared" si="39"/>
        <v>0</v>
      </c>
      <c r="X85" s="304">
        <f t="shared" si="40"/>
        <v>680000</v>
      </c>
      <c r="Y85" s="304">
        <f t="shared" si="41"/>
        <v>680000</v>
      </c>
      <c r="Z85" s="317">
        <f t="shared" si="42"/>
        <v>0</v>
      </c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31.5" customHeight="1">
      <c r="A86" s="327">
        <v>7</v>
      </c>
      <c r="B86" s="328" t="s">
        <v>19</v>
      </c>
      <c r="C86" s="328" t="s">
        <v>19</v>
      </c>
      <c r="D86" s="328" t="s">
        <v>64</v>
      </c>
      <c r="E86" s="328" t="s">
        <v>36</v>
      </c>
      <c r="F86" s="328" t="s">
        <v>34</v>
      </c>
      <c r="G86" s="289">
        <v>5</v>
      </c>
      <c r="H86" s="289">
        <v>1</v>
      </c>
      <c r="I86" s="302" t="s">
        <v>19</v>
      </c>
      <c r="J86" s="328" t="s">
        <v>30</v>
      </c>
      <c r="K86" s="328" t="s">
        <v>36</v>
      </c>
      <c r="L86" s="315"/>
      <c r="M86" s="326"/>
      <c r="N86" s="316" t="s">
        <v>246</v>
      </c>
      <c r="O86" s="317">
        <f>O87</f>
        <v>680000</v>
      </c>
      <c r="P86" s="311"/>
      <c r="Q86" s="311"/>
      <c r="R86" s="311"/>
      <c r="S86" s="311"/>
      <c r="T86" s="311"/>
      <c r="U86" s="311"/>
      <c r="V86" s="317">
        <f t="shared" si="39"/>
        <v>680000</v>
      </c>
      <c r="W86" s="317">
        <f t="shared" si="39"/>
        <v>0</v>
      </c>
      <c r="X86" s="304">
        <f t="shared" si="40"/>
        <v>680000</v>
      </c>
      <c r="Y86" s="304">
        <f t="shared" si="41"/>
        <v>680000</v>
      </c>
      <c r="Z86" s="317">
        <f t="shared" si="42"/>
        <v>0</v>
      </c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31.5" customHeight="1">
      <c r="A87" s="325">
        <v>7</v>
      </c>
      <c r="B87" s="314" t="s">
        <v>19</v>
      </c>
      <c r="C87" s="314" t="s">
        <v>19</v>
      </c>
      <c r="D87" s="314" t="s">
        <v>64</v>
      </c>
      <c r="E87" s="314" t="s">
        <v>36</v>
      </c>
      <c r="F87" s="314" t="s">
        <v>34</v>
      </c>
      <c r="G87" s="307">
        <v>5</v>
      </c>
      <c r="H87" s="307">
        <v>1</v>
      </c>
      <c r="I87" s="306" t="s">
        <v>19</v>
      </c>
      <c r="J87" s="314" t="s">
        <v>30</v>
      </c>
      <c r="K87" s="314" t="s">
        <v>36</v>
      </c>
      <c r="L87" s="314" t="s">
        <v>27</v>
      </c>
      <c r="M87" s="326">
        <v>2</v>
      </c>
      <c r="N87" s="309" t="s">
        <v>247</v>
      </c>
      <c r="O87" s="310">
        <v>680000</v>
      </c>
      <c r="P87" s="311"/>
      <c r="Q87" s="311"/>
      <c r="R87" s="311"/>
      <c r="S87" s="311"/>
      <c r="T87" s="311"/>
      <c r="U87" s="311"/>
      <c r="V87" s="311">
        <f>'[4]SPJ FUNGSIONAL '!$X$87</f>
        <v>680000</v>
      </c>
      <c r="W87" s="311"/>
      <c r="X87" s="311">
        <f t="shared" si="40"/>
        <v>680000</v>
      </c>
      <c r="Y87" s="311">
        <f t="shared" si="41"/>
        <v>680000</v>
      </c>
      <c r="Z87" s="310">
        <f t="shared" si="42"/>
        <v>0</v>
      </c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31.5" customHeight="1">
      <c r="A88" s="327">
        <v>7</v>
      </c>
      <c r="B88" s="328" t="s">
        <v>19</v>
      </c>
      <c r="C88" s="328" t="s">
        <v>19</v>
      </c>
      <c r="D88" s="328" t="s">
        <v>64</v>
      </c>
      <c r="E88" s="328" t="s">
        <v>36</v>
      </c>
      <c r="F88" s="328" t="s">
        <v>34</v>
      </c>
      <c r="G88" s="289">
        <v>5</v>
      </c>
      <c r="H88" s="289">
        <v>2</v>
      </c>
      <c r="I88" s="302"/>
      <c r="J88" s="315"/>
      <c r="K88" s="315"/>
      <c r="L88" s="315"/>
      <c r="M88" s="326"/>
      <c r="N88" s="322" t="s">
        <v>249</v>
      </c>
      <c r="O88" s="317">
        <f>O89</f>
        <v>67320000</v>
      </c>
      <c r="P88" s="311"/>
      <c r="Q88" s="311"/>
      <c r="R88" s="311"/>
      <c r="S88" s="317">
        <f t="shared" ref="S88:T91" si="43">S89</f>
        <v>67320000</v>
      </c>
      <c r="T88" s="317">
        <f t="shared" si="43"/>
        <v>0</v>
      </c>
      <c r="U88" s="304">
        <f>SUM(S88:T88)</f>
        <v>67320000</v>
      </c>
      <c r="V88" s="311"/>
      <c r="W88" s="311"/>
      <c r="X88" s="304">
        <f t="shared" si="40"/>
        <v>0</v>
      </c>
      <c r="Y88" s="311">
        <f t="shared" si="41"/>
        <v>67320000</v>
      </c>
      <c r="Z88" s="317">
        <f t="shared" si="42"/>
        <v>0</v>
      </c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</row>
    <row r="89" spans="1:38" s="268" customFormat="1" ht="31.5" customHeight="1">
      <c r="A89" s="327">
        <v>7</v>
      </c>
      <c r="B89" s="328" t="s">
        <v>19</v>
      </c>
      <c r="C89" s="328" t="s">
        <v>19</v>
      </c>
      <c r="D89" s="328" t="s">
        <v>64</v>
      </c>
      <c r="E89" s="328" t="s">
        <v>36</v>
      </c>
      <c r="F89" s="328" t="s">
        <v>34</v>
      </c>
      <c r="G89" s="289">
        <v>5</v>
      </c>
      <c r="H89" s="289">
        <v>2</v>
      </c>
      <c r="I89" s="302" t="s">
        <v>22</v>
      </c>
      <c r="J89" s="315"/>
      <c r="K89" s="315"/>
      <c r="L89" s="315"/>
      <c r="M89" s="326"/>
      <c r="N89" s="323" t="s">
        <v>250</v>
      </c>
      <c r="O89" s="317">
        <f>O90</f>
        <v>67320000</v>
      </c>
      <c r="P89" s="311"/>
      <c r="Q89" s="311"/>
      <c r="R89" s="311"/>
      <c r="S89" s="317">
        <f t="shared" si="43"/>
        <v>67320000</v>
      </c>
      <c r="T89" s="317">
        <f t="shared" si="43"/>
        <v>0</v>
      </c>
      <c r="U89" s="304">
        <f>SUM(S89:T89)</f>
        <v>67320000</v>
      </c>
      <c r="V89" s="311"/>
      <c r="W89" s="311"/>
      <c r="X89" s="304">
        <f t="shared" si="40"/>
        <v>0</v>
      </c>
      <c r="Y89" s="311">
        <f t="shared" si="41"/>
        <v>67320000</v>
      </c>
      <c r="Z89" s="317">
        <f t="shared" si="42"/>
        <v>0</v>
      </c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</row>
    <row r="90" spans="1:38" s="268" customFormat="1" ht="31.5" customHeight="1">
      <c r="A90" s="327">
        <v>7</v>
      </c>
      <c r="B90" s="328" t="s">
        <v>19</v>
      </c>
      <c r="C90" s="328" t="s">
        <v>19</v>
      </c>
      <c r="D90" s="328" t="s">
        <v>64</v>
      </c>
      <c r="E90" s="328" t="s">
        <v>36</v>
      </c>
      <c r="F90" s="328" t="s">
        <v>34</v>
      </c>
      <c r="G90" s="289">
        <v>5</v>
      </c>
      <c r="H90" s="289">
        <v>2</v>
      </c>
      <c r="I90" s="302" t="s">
        <v>22</v>
      </c>
      <c r="J90" s="328" t="s">
        <v>167</v>
      </c>
      <c r="K90" s="315"/>
      <c r="L90" s="315"/>
      <c r="M90" s="326"/>
      <c r="N90" s="323" t="s">
        <v>251</v>
      </c>
      <c r="O90" s="317">
        <f>O91</f>
        <v>67320000</v>
      </c>
      <c r="P90" s="311"/>
      <c r="Q90" s="311"/>
      <c r="R90" s="311"/>
      <c r="S90" s="317">
        <f t="shared" si="43"/>
        <v>67320000</v>
      </c>
      <c r="T90" s="317">
        <f t="shared" si="43"/>
        <v>0</v>
      </c>
      <c r="U90" s="304">
        <f>SUM(S90:T90)</f>
        <v>67320000</v>
      </c>
      <c r="V90" s="311"/>
      <c r="W90" s="311"/>
      <c r="X90" s="304">
        <f t="shared" si="40"/>
        <v>0</v>
      </c>
      <c r="Y90" s="311">
        <f t="shared" si="41"/>
        <v>67320000</v>
      </c>
      <c r="Z90" s="317">
        <f t="shared" si="42"/>
        <v>0</v>
      </c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31.5" customHeight="1">
      <c r="A91" s="327">
        <v>7</v>
      </c>
      <c r="B91" s="328" t="s">
        <v>19</v>
      </c>
      <c r="C91" s="328" t="s">
        <v>19</v>
      </c>
      <c r="D91" s="328" t="s">
        <v>64</v>
      </c>
      <c r="E91" s="328" t="s">
        <v>36</v>
      </c>
      <c r="F91" s="328" t="s">
        <v>34</v>
      </c>
      <c r="G91" s="289">
        <v>5</v>
      </c>
      <c r="H91" s="289">
        <v>2</v>
      </c>
      <c r="I91" s="302" t="s">
        <v>22</v>
      </c>
      <c r="J91" s="328" t="s">
        <v>167</v>
      </c>
      <c r="K91" s="328" t="s">
        <v>19</v>
      </c>
      <c r="L91" s="314"/>
      <c r="M91" s="326"/>
      <c r="N91" s="323" t="s">
        <v>252</v>
      </c>
      <c r="O91" s="317">
        <f>O92</f>
        <v>67320000</v>
      </c>
      <c r="P91" s="311"/>
      <c r="Q91" s="311"/>
      <c r="R91" s="311"/>
      <c r="S91" s="317">
        <f t="shared" si="43"/>
        <v>67320000</v>
      </c>
      <c r="T91" s="317">
        <f t="shared" si="43"/>
        <v>0</v>
      </c>
      <c r="U91" s="304">
        <f>SUM(S91:T91)</f>
        <v>67320000</v>
      </c>
      <c r="V91" s="311"/>
      <c r="W91" s="311"/>
      <c r="X91" s="304">
        <f t="shared" si="40"/>
        <v>0</v>
      </c>
      <c r="Y91" s="311">
        <f t="shared" si="41"/>
        <v>67320000</v>
      </c>
      <c r="Z91" s="317">
        <f t="shared" si="42"/>
        <v>0</v>
      </c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</row>
    <row r="92" spans="1:38" s="268" customFormat="1" ht="31.5" customHeight="1">
      <c r="A92" s="325">
        <v>7</v>
      </c>
      <c r="B92" s="314" t="s">
        <v>19</v>
      </c>
      <c r="C92" s="314" t="s">
        <v>19</v>
      </c>
      <c r="D92" s="314" t="s">
        <v>64</v>
      </c>
      <c r="E92" s="314" t="s">
        <v>36</v>
      </c>
      <c r="F92" s="314" t="s">
        <v>34</v>
      </c>
      <c r="G92" s="307">
        <v>5</v>
      </c>
      <c r="H92" s="307">
        <v>2</v>
      </c>
      <c r="I92" s="306" t="s">
        <v>22</v>
      </c>
      <c r="J92" s="314" t="s">
        <v>167</v>
      </c>
      <c r="K92" s="314" t="s">
        <v>19</v>
      </c>
      <c r="L92" s="314" t="s">
        <v>27</v>
      </c>
      <c r="M92" s="326">
        <v>2</v>
      </c>
      <c r="N92" s="309" t="s">
        <v>253</v>
      </c>
      <c r="O92" s="310">
        <v>67320000</v>
      </c>
      <c r="P92" s="311"/>
      <c r="Q92" s="311"/>
      <c r="R92" s="311"/>
      <c r="S92" s="311">
        <f>'[5]SPJ FUNGSIONAL '!$U$92</f>
        <v>67320000</v>
      </c>
      <c r="T92" s="311"/>
      <c r="U92" s="311">
        <f>SUM(S92:T92)</f>
        <v>67320000</v>
      </c>
      <c r="V92" s="311"/>
      <c r="W92" s="311"/>
      <c r="X92" s="304">
        <f t="shared" si="40"/>
        <v>0</v>
      </c>
      <c r="Y92" s="311">
        <f t="shared" si="41"/>
        <v>67320000</v>
      </c>
      <c r="Z92" s="310">
        <f t="shared" si="42"/>
        <v>0</v>
      </c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25" customHeight="1">
      <c r="A93" s="325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26"/>
      <c r="N93" s="309"/>
      <c r="O93" s="310"/>
      <c r="P93" s="311"/>
      <c r="Q93" s="311"/>
      <c r="R93" s="311"/>
      <c r="S93" s="311"/>
      <c r="T93" s="311"/>
      <c r="U93" s="311"/>
      <c r="V93" s="311"/>
      <c r="W93" s="311"/>
      <c r="X93" s="311"/>
      <c r="Y93" s="340"/>
      <c r="Z93" s="341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43.5" customHeight="1">
      <c r="A94" s="279">
        <v>7</v>
      </c>
      <c r="B94" s="280" t="s">
        <v>19</v>
      </c>
      <c r="C94" s="280" t="s">
        <v>19</v>
      </c>
      <c r="D94" s="281">
        <v>2</v>
      </c>
      <c r="E94" s="280" t="s">
        <v>38</v>
      </c>
      <c r="F94" s="281"/>
      <c r="G94" s="281"/>
      <c r="H94" s="281"/>
      <c r="I94" s="281"/>
      <c r="J94" s="281"/>
      <c r="K94" s="281"/>
      <c r="L94" s="281"/>
      <c r="M94" s="282"/>
      <c r="N94" s="283" t="s">
        <v>71</v>
      </c>
      <c r="O94" s="284">
        <f>O96+O102+O110</f>
        <v>1144355033</v>
      </c>
      <c r="P94" s="285">
        <f>P96+P102+P110</f>
        <v>0</v>
      </c>
      <c r="Q94" s="285">
        <f>Q96+Q102+Q110</f>
        <v>0</v>
      </c>
      <c r="R94" s="285">
        <f>P94+Q94</f>
        <v>0</v>
      </c>
      <c r="S94" s="285">
        <f>S96+S102+S110</f>
        <v>0</v>
      </c>
      <c r="T94" s="285">
        <f>T96+T102+T110</f>
        <v>0</v>
      </c>
      <c r="U94" s="285">
        <f>S94+T94</f>
        <v>0</v>
      </c>
      <c r="V94" s="285">
        <f>V96+V102+V110</f>
        <v>898567516</v>
      </c>
      <c r="W94" s="285">
        <f>W96+W102+W110</f>
        <v>170514455</v>
      </c>
      <c r="X94" s="285">
        <f>V94+W94</f>
        <v>1069081971</v>
      </c>
      <c r="Y94" s="286">
        <f>R94+U94+X94</f>
        <v>1069081971</v>
      </c>
      <c r="Z94" s="287">
        <f>O94-Y94</f>
        <v>75273062</v>
      </c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78" customFormat="1" ht="13.5" customHeight="1">
      <c r="A95" s="288"/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90"/>
      <c r="N95" s="322"/>
      <c r="O95" s="292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4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</row>
    <row r="96" spans="1:38" s="268" customFormat="1" ht="32.5" customHeight="1">
      <c r="A96" s="295">
        <v>7</v>
      </c>
      <c r="B96" s="296" t="s">
        <v>19</v>
      </c>
      <c r="C96" s="296" t="s">
        <v>19</v>
      </c>
      <c r="D96" s="297">
        <v>2</v>
      </c>
      <c r="E96" s="296" t="s">
        <v>38</v>
      </c>
      <c r="F96" s="296" t="s">
        <v>19</v>
      </c>
      <c r="G96" s="297"/>
      <c r="H96" s="297"/>
      <c r="I96" s="297"/>
      <c r="J96" s="297"/>
      <c r="K96" s="297"/>
      <c r="L96" s="297"/>
      <c r="M96" s="298"/>
      <c r="N96" s="321" t="s">
        <v>72</v>
      </c>
      <c r="O96" s="300">
        <f t="shared" ref="O96:Q99" si="44">O97</f>
        <v>6290000</v>
      </c>
      <c r="P96" s="301">
        <f t="shared" si="44"/>
        <v>0</v>
      </c>
      <c r="Q96" s="301">
        <f t="shared" si="44"/>
        <v>0</v>
      </c>
      <c r="R96" s="301">
        <f>P96+Q96</f>
        <v>0</v>
      </c>
      <c r="S96" s="301">
        <f t="shared" ref="S96:T99" si="45">S97</f>
        <v>0</v>
      </c>
      <c r="T96" s="301">
        <f t="shared" si="45"/>
        <v>0</v>
      </c>
      <c r="U96" s="301">
        <f>S96+T96</f>
        <v>0</v>
      </c>
      <c r="V96" s="301">
        <f t="shared" ref="V96:W99" si="46">V97</f>
        <v>4348000</v>
      </c>
      <c r="W96" s="301">
        <f t="shared" si="46"/>
        <v>300000</v>
      </c>
      <c r="X96" s="301">
        <f>V96+W96</f>
        <v>4648000</v>
      </c>
      <c r="Y96" s="301">
        <f>R96+U96+X96</f>
        <v>4648000</v>
      </c>
      <c r="Z96" s="300">
        <f>O96-Y96</f>
        <v>1642000</v>
      </c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</row>
    <row r="97" spans="1:38" s="268" customFormat="1" ht="32.5" customHeight="1">
      <c r="A97" s="288">
        <v>7</v>
      </c>
      <c r="B97" s="302" t="s">
        <v>19</v>
      </c>
      <c r="C97" s="302" t="s">
        <v>19</v>
      </c>
      <c r="D97" s="289">
        <v>2</v>
      </c>
      <c r="E97" s="302" t="s">
        <v>38</v>
      </c>
      <c r="F97" s="302" t="s">
        <v>19</v>
      </c>
      <c r="G97" s="289">
        <v>5</v>
      </c>
      <c r="H97" s="289">
        <v>1</v>
      </c>
      <c r="I97" s="302" t="s">
        <v>22</v>
      </c>
      <c r="J97" s="315"/>
      <c r="K97" s="315"/>
      <c r="L97" s="315"/>
      <c r="M97" s="326"/>
      <c r="N97" s="322" t="s">
        <v>49</v>
      </c>
      <c r="O97" s="317">
        <f t="shared" si="44"/>
        <v>6290000</v>
      </c>
      <c r="P97" s="304">
        <f t="shared" si="44"/>
        <v>0</v>
      </c>
      <c r="Q97" s="304">
        <f t="shared" si="44"/>
        <v>0</v>
      </c>
      <c r="R97" s="304">
        <f>P97+Q97</f>
        <v>0</v>
      </c>
      <c r="S97" s="304">
        <f t="shared" si="45"/>
        <v>0</v>
      </c>
      <c r="T97" s="304">
        <f t="shared" si="45"/>
        <v>0</v>
      </c>
      <c r="U97" s="304">
        <f>S97+T97</f>
        <v>0</v>
      </c>
      <c r="V97" s="304">
        <f t="shared" si="46"/>
        <v>4348000</v>
      </c>
      <c r="W97" s="304">
        <f t="shared" si="46"/>
        <v>300000</v>
      </c>
      <c r="X97" s="304">
        <f>V97+W97</f>
        <v>4648000</v>
      </c>
      <c r="Y97" s="304">
        <f>R97+U97+X97</f>
        <v>4648000</v>
      </c>
      <c r="Z97" s="317">
        <f>O97-Y97</f>
        <v>1642000</v>
      </c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</row>
    <row r="98" spans="1:38" s="268" customFormat="1" ht="32.5" customHeight="1">
      <c r="A98" s="288">
        <v>7</v>
      </c>
      <c r="B98" s="302" t="s">
        <v>19</v>
      </c>
      <c r="C98" s="302" t="s">
        <v>19</v>
      </c>
      <c r="D98" s="289">
        <v>2</v>
      </c>
      <c r="E98" s="302" t="s">
        <v>38</v>
      </c>
      <c r="F98" s="302" t="s">
        <v>19</v>
      </c>
      <c r="G98" s="289">
        <v>5</v>
      </c>
      <c r="H98" s="289">
        <v>1</v>
      </c>
      <c r="I98" s="302" t="s">
        <v>22</v>
      </c>
      <c r="J98" s="328" t="s">
        <v>19</v>
      </c>
      <c r="K98" s="315"/>
      <c r="L98" s="315"/>
      <c r="M98" s="326"/>
      <c r="N98" s="323" t="s">
        <v>50</v>
      </c>
      <c r="O98" s="317">
        <f t="shared" si="44"/>
        <v>6290000</v>
      </c>
      <c r="P98" s="304">
        <f t="shared" si="44"/>
        <v>0</v>
      </c>
      <c r="Q98" s="304">
        <f t="shared" si="44"/>
        <v>0</v>
      </c>
      <c r="R98" s="304">
        <f>P98+Q98</f>
        <v>0</v>
      </c>
      <c r="S98" s="304">
        <f t="shared" si="45"/>
        <v>0</v>
      </c>
      <c r="T98" s="304">
        <f t="shared" si="45"/>
        <v>0</v>
      </c>
      <c r="U98" s="304">
        <f>S98+T98</f>
        <v>0</v>
      </c>
      <c r="V98" s="304">
        <f t="shared" si="46"/>
        <v>4348000</v>
      </c>
      <c r="W98" s="304">
        <f t="shared" si="46"/>
        <v>300000</v>
      </c>
      <c r="X98" s="304">
        <f>V98+W98</f>
        <v>4648000</v>
      </c>
      <c r="Y98" s="304">
        <f>R98+U98+X98</f>
        <v>4648000</v>
      </c>
      <c r="Z98" s="317">
        <f>O98-Y98</f>
        <v>1642000</v>
      </c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</row>
    <row r="99" spans="1:38" s="268" customFormat="1" ht="32.5" customHeight="1">
      <c r="A99" s="288">
        <v>7</v>
      </c>
      <c r="B99" s="302" t="s">
        <v>19</v>
      </c>
      <c r="C99" s="302" t="s">
        <v>19</v>
      </c>
      <c r="D99" s="289">
        <v>2</v>
      </c>
      <c r="E99" s="302" t="s">
        <v>38</v>
      </c>
      <c r="F99" s="302" t="s">
        <v>19</v>
      </c>
      <c r="G99" s="289">
        <v>5</v>
      </c>
      <c r="H99" s="289">
        <v>1</v>
      </c>
      <c r="I99" s="302" t="s">
        <v>22</v>
      </c>
      <c r="J99" s="328" t="s">
        <v>19</v>
      </c>
      <c r="K99" s="328" t="s">
        <v>19</v>
      </c>
      <c r="L99" s="315"/>
      <c r="M99" s="326"/>
      <c r="N99" s="322" t="s">
        <v>51</v>
      </c>
      <c r="O99" s="317">
        <f t="shared" si="44"/>
        <v>6290000</v>
      </c>
      <c r="P99" s="304">
        <f t="shared" si="44"/>
        <v>0</v>
      </c>
      <c r="Q99" s="304">
        <f t="shared" si="44"/>
        <v>0</v>
      </c>
      <c r="R99" s="304">
        <f>P99+Q99</f>
        <v>0</v>
      </c>
      <c r="S99" s="304">
        <f t="shared" si="45"/>
        <v>0</v>
      </c>
      <c r="T99" s="304">
        <f t="shared" si="45"/>
        <v>0</v>
      </c>
      <c r="U99" s="304">
        <f>S99+T99</f>
        <v>0</v>
      </c>
      <c r="V99" s="304">
        <f t="shared" si="46"/>
        <v>4348000</v>
      </c>
      <c r="W99" s="304">
        <f t="shared" si="46"/>
        <v>300000</v>
      </c>
      <c r="X99" s="304">
        <f>V99+W99</f>
        <v>4648000</v>
      </c>
      <c r="Y99" s="304">
        <f>R99+U99+X99</f>
        <v>4648000</v>
      </c>
      <c r="Z99" s="317">
        <f>O99-Y99</f>
        <v>1642000</v>
      </c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32.5" customHeight="1">
      <c r="A100" s="305">
        <v>7</v>
      </c>
      <c r="B100" s="306" t="s">
        <v>19</v>
      </c>
      <c r="C100" s="306" t="s">
        <v>19</v>
      </c>
      <c r="D100" s="307">
        <v>2</v>
      </c>
      <c r="E100" s="306" t="s">
        <v>38</v>
      </c>
      <c r="F100" s="306" t="s">
        <v>19</v>
      </c>
      <c r="G100" s="307">
        <v>5</v>
      </c>
      <c r="H100" s="307">
        <v>1</v>
      </c>
      <c r="I100" s="306" t="s">
        <v>22</v>
      </c>
      <c r="J100" s="314" t="s">
        <v>19</v>
      </c>
      <c r="K100" s="314" t="s">
        <v>19</v>
      </c>
      <c r="L100" s="314" t="s">
        <v>56</v>
      </c>
      <c r="M100" s="326">
        <v>7</v>
      </c>
      <c r="N100" s="318" t="s">
        <v>73</v>
      </c>
      <c r="O100" s="310">
        <v>6290000</v>
      </c>
      <c r="P100" s="311"/>
      <c r="Q100" s="311"/>
      <c r="R100" s="311">
        <f>P100+Q100</f>
        <v>0</v>
      </c>
      <c r="S100" s="311"/>
      <c r="T100" s="311"/>
      <c r="U100" s="311">
        <f>S100+T100</f>
        <v>0</v>
      </c>
      <c r="V100" s="311">
        <f>'[1]SPJ FUNGSIONAL '!$X$100</f>
        <v>4348000</v>
      </c>
      <c r="W100" s="311">
        <v>300000</v>
      </c>
      <c r="X100" s="311">
        <f>V100+W100</f>
        <v>4648000</v>
      </c>
      <c r="Y100" s="311">
        <f>R100+U100+X100</f>
        <v>4648000</v>
      </c>
      <c r="Z100" s="310">
        <f>O100-Y100</f>
        <v>1642000</v>
      </c>
      <c r="AA100" s="267"/>
      <c r="AB100" s="267"/>
      <c r="AC100" s="267"/>
      <c r="AD100" s="267"/>
      <c r="AE100" s="267">
        <v>232000</v>
      </c>
      <c r="AF100" s="267"/>
      <c r="AG100" s="267"/>
      <c r="AH100" s="267"/>
      <c r="AI100" s="267"/>
      <c r="AJ100" s="267"/>
      <c r="AK100" s="267"/>
      <c r="AL100" s="267"/>
    </row>
    <row r="101" spans="1:38" s="268" customFormat="1" ht="15.65" customHeight="1">
      <c r="A101" s="305"/>
      <c r="B101" s="307"/>
      <c r="C101" s="307"/>
      <c r="D101" s="307"/>
      <c r="E101" s="307"/>
      <c r="F101" s="307"/>
      <c r="G101" s="307"/>
      <c r="H101" s="307"/>
      <c r="I101" s="307"/>
      <c r="J101" s="315"/>
      <c r="K101" s="315"/>
      <c r="L101" s="315"/>
      <c r="M101" s="326"/>
      <c r="N101" s="309"/>
      <c r="O101" s="310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0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</row>
    <row r="102" spans="1:38" s="268" customFormat="1" ht="36.75" customHeight="1">
      <c r="A102" s="295">
        <v>7</v>
      </c>
      <c r="B102" s="296" t="s">
        <v>19</v>
      </c>
      <c r="C102" s="296" t="s">
        <v>19</v>
      </c>
      <c r="D102" s="297">
        <v>2</v>
      </c>
      <c r="E102" s="296" t="s">
        <v>38</v>
      </c>
      <c r="F102" s="296" t="s">
        <v>22</v>
      </c>
      <c r="G102" s="297"/>
      <c r="H102" s="297"/>
      <c r="I102" s="297"/>
      <c r="J102" s="297"/>
      <c r="K102" s="297"/>
      <c r="L102" s="297"/>
      <c r="M102" s="298"/>
      <c r="N102" s="321" t="s">
        <v>74</v>
      </c>
      <c r="O102" s="300">
        <f>O103</f>
        <v>84029033</v>
      </c>
      <c r="P102" s="301">
        <f t="shared" ref="O102:Q103" si="47">P103</f>
        <v>0</v>
      </c>
      <c r="Q102" s="301">
        <f t="shared" si="47"/>
        <v>0</v>
      </c>
      <c r="R102" s="301">
        <f t="shared" ref="R102:R108" si="48">P102+Q102</f>
        <v>0</v>
      </c>
      <c r="S102" s="301">
        <f>S103</f>
        <v>0</v>
      </c>
      <c r="T102" s="301">
        <f>T103</f>
        <v>0</v>
      </c>
      <c r="U102" s="301">
        <f t="shared" ref="U102:U108" si="49">S102+T102</f>
        <v>0</v>
      </c>
      <c r="V102" s="301">
        <f>V103</f>
        <v>54161452</v>
      </c>
      <c r="W102" s="301">
        <f>W103</f>
        <v>6191911</v>
      </c>
      <c r="X102" s="301">
        <f t="shared" ref="X102:X108" si="50">V102+W102</f>
        <v>60353363</v>
      </c>
      <c r="Y102" s="301">
        <f t="shared" ref="Y102:Y108" si="51">R102+U102+X102</f>
        <v>60353363</v>
      </c>
      <c r="Z102" s="300">
        <f t="shared" ref="Z102:Z108" si="52">O102-Y102</f>
        <v>23675670</v>
      </c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</row>
    <row r="103" spans="1:38" s="268" customFormat="1" ht="34.950000000000003" customHeight="1">
      <c r="A103" s="288">
        <v>7</v>
      </c>
      <c r="B103" s="302" t="s">
        <v>19</v>
      </c>
      <c r="C103" s="302" t="s">
        <v>19</v>
      </c>
      <c r="D103" s="289">
        <v>2</v>
      </c>
      <c r="E103" s="302" t="s">
        <v>38</v>
      </c>
      <c r="F103" s="302" t="s">
        <v>22</v>
      </c>
      <c r="G103" s="289">
        <v>5</v>
      </c>
      <c r="H103" s="289">
        <v>1</v>
      </c>
      <c r="I103" s="302" t="s">
        <v>22</v>
      </c>
      <c r="J103" s="328" t="s">
        <v>22</v>
      </c>
      <c r="K103" s="315"/>
      <c r="L103" s="315"/>
      <c r="M103" s="326"/>
      <c r="N103" s="323" t="s">
        <v>75</v>
      </c>
      <c r="O103" s="317">
        <f t="shared" si="47"/>
        <v>84029033</v>
      </c>
      <c r="P103" s="304">
        <f t="shared" si="47"/>
        <v>0</v>
      </c>
      <c r="Q103" s="304">
        <f t="shared" si="47"/>
        <v>0</v>
      </c>
      <c r="R103" s="304">
        <f t="shared" si="48"/>
        <v>0</v>
      </c>
      <c r="S103" s="304">
        <f>S104</f>
        <v>0</v>
      </c>
      <c r="T103" s="304">
        <f>T104</f>
        <v>0</v>
      </c>
      <c r="U103" s="304">
        <f t="shared" si="49"/>
        <v>0</v>
      </c>
      <c r="V103" s="304">
        <f>V104</f>
        <v>54161452</v>
      </c>
      <c r="W103" s="304">
        <f>W104</f>
        <v>6191911</v>
      </c>
      <c r="X103" s="304">
        <f t="shared" si="50"/>
        <v>60353363</v>
      </c>
      <c r="Y103" s="311">
        <f t="shared" si="51"/>
        <v>60353363</v>
      </c>
      <c r="Z103" s="317">
        <f t="shared" si="52"/>
        <v>23675670</v>
      </c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</row>
    <row r="104" spans="1:38" s="268" customFormat="1" ht="34.950000000000003" customHeight="1">
      <c r="A104" s="288">
        <v>7</v>
      </c>
      <c r="B104" s="302" t="s">
        <v>19</v>
      </c>
      <c r="C104" s="302" t="s">
        <v>19</v>
      </c>
      <c r="D104" s="289">
        <v>2</v>
      </c>
      <c r="E104" s="302" t="s">
        <v>38</v>
      </c>
      <c r="F104" s="302" t="s">
        <v>22</v>
      </c>
      <c r="G104" s="289">
        <v>5</v>
      </c>
      <c r="H104" s="289">
        <v>1</v>
      </c>
      <c r="I104" s="302" t="s">
        <v>22</v>
      </c>
      <c r="J104" s="328" t="s">
        <v>22</v>
      </c>
      <c r="K104" s="328" t="s">
        <v>19</v>
      </c>
      <c r="L104" s="315"/>
      <c r="M104" s="326"/>
      <c r="N104" s="323" t="s">
        <v>76</v>
      </c>
      <c r="O104" s="317">
        <f>SUM(O105:O108)</f>
        <v>84029033</v>
      </c>
      <c r="P104" s="304">
        <f>SUM(P106:P108)</f>
        <v>0</v>
      </c>
      <c r="Q104" s="304">
        <f>SUM(Q106:Q108)</f>
        <v>0</v>
      </c>
      <c r="R104" s="304">
        <f t="shared" si="48"/>
        <v>0</v>
      </c>
      <c r="S104" s="304">
        <f>SUM(S106:S108)</f>
        <v>0</v>
      </c>
      <c r="T104" s="304">
        <f>SUM(T106:T108)</f>
        <v>0</v>
      </c>
      <c r="U104" s="304">
        <f t="shared" si="49"/>
        <v>0</v>
      </c>
      <c r="V104" s="304">
        <f>SUM(V105:V108)</f>
        <v>54161452</v>
      </c>
      <c r="W104" s="304">
        <f>SUM(W105:W108)</f>
        <v>6191911</v>
      </c>
      <c r="X104" s="304">
        <f t="shared" si="50"/>
        <v>60353363</v>
      </c>
      <c r="Y104" s="311">
        <f t="shared" si="51"/>
        <v>60353363</v>
      </c>
      <c r="Z104" s="317">
        <f t="shared" si="52"/>
        <v>23675670</v>
      </c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</row>
    <row r="105" spans="1:38" s="268" customFormat="1" ht="41.25" customHeight="1">
      <c r="A105" s="305">
        <v>7</v>
      </c>
      <c r="B105" s="306" t="s">
        <v>19</v>
      </c>
      <c r="C105" s="306" t="s">
        <v>19</v>
      </c>
      <c r="D105" s="307">
        <v>2</v>
      </c>
      <c r="E105" s="306" t="s">
        <v>38</v>
      </c>
      <c r="F105" s="306" t="s">
        <v>22</v>
      </c>
      <c r="G105" s="307">
        <v>5</v>
      </c>
      <c r="H105" s="307">
        <v>1</v>
      </c>
      <c r="I105" s="306" t="s">
        <v>22</v>
      </c>
      <c r="J105" s="314" t="s">
        <v>22</v>
      </c>
      <c r="K105" s="314" t="s">
        <v>19</v>
      </c>
      <c r="L105" s="314" t="s">
        <v>66</v>
      </c>
      <c r="M105" s="326">
        <v>2</v>
      </c>
      <c r="N105" s="318" t="s">
        <v>254</v>
      </c>
      <c r="O105" s="310">
        <v>600000</v>
      </c>
      <c r="P105" s="304"/>
      <c r="Q105" s="304"/>
      <c r="R105" s="304"/>
      <c r="S105" s="304"/>
      <c r="T105" s="304"/>
      <c r="U105" s="304"/>
      <c r="V105" s="311">
        <f>'[1]SPJ FUNGSIONAL '!$X$105</f>
        <v>350000</v>
      </c>
      <c r="W105" s="311">
        <v>50000</v>
      </c>
      <c r="X105" s="311">
        <f t="shared" ref="X105" si="53">V105+W105</f>
        <v>400000</v>
      </c>
      <c r="Y105" s="311">
        <f t="shared" ref="Y105" si="54">R105+U105+X105</f>
        <v>400000</v>
      </c>
      <c r="Z105" s="310">
        <f t="shared" si="52"/>
        <v>200000</v>
      </c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</row>
    <row r="106" spans="1:38" s="268" customFormat="1" ht="34.950000000000003" customHeight="1">
      <c r="A106" s="305">
        <v>7</v>
      </c>
      <c r="B106" s="306" t="s">
        <v>19</v>
      </c>
      <c r="C106" s="306" t="s">
        <v>19</v>
      </c>
      <c r="D106" s="307">
        <v>2</v>
      </c>
      <c r="E106" s="306" t="s">
        <v>38</v>
      </c>
      <c r="F106" s="306" t="s">
        <v>22</v>
      </c>
      <c r="G106" s="307">
        <v>5</v>
      </c>
      <c r="H106" s="307">
        <v>1</v>
      </c>
      <c r="I106" s="306" t="s">
        <v>22</v>
      </c>
      <c r="J106" s="314" t="s">
        <v>22</v>
      </c>
      <c r="K106" s="314" t="s">
        <v>19</v>
      </c>
      <c r="L106" s="314" t="s">
        <v>66</v>
      </c>
      <c r="M106" s="326">
        <v>9</v>
      </c>
      <c r="N106" s="309" t="s">
        <v>77</v>
      </c>
      <c r="O106" s="310">
        <v>6003000</v>
      </c>
      <c r="P106" s="311"/>
      <c r="Q106" s="311"/>
      <c r="R106" s="311">
        <f t="shared" si="48"/>
        <v>0</v>
      </c>
      <c r="S106" s="311"/>
      <c r="T106" s="311"/>
      <c r="U106" s="311">
        <f t="shared" si="49"/>
        <v>0</v>
      </c>
      <c r="V106" s="311">
        <f>'[1]SPJ FUNGSIONAL '!$X$106</f>
        <v>3339302</v>
      </c>
      <c r="W106" s="311">
        <v>263915</v>
      </c>
      <c r="X106" s="311">
        <f t="shared" si="50"/>
        <v>3603217</v>
      </c>
      <c r="Y106" s="311">
        <f t="shared" si="51"/>
        <v>3603217</v>
      </c>
      <c r="Z106" s="310">
        <f t="shared" si="52"/>
        <v>2399783</v>
      </c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</row>
    <row r="107" spans="1:38" s="268" customFormat="1" ht="34.950000000000003" customHeight="1">
      <c r="A107" s="305">
        <v>7</v>
      </c>
      <c r="B107" s="306" t="s">
        <v>19</v>
      </c>
      <c r="C107" s="306" t="s">
        <v>19</v>
      </c>
      <c r="D107" s="307">
        <v>2</v>
      </c>
      <c r="E107" s="306" t="s">
        <v>38</v>
      </c>
      <c r="F107" s="306" t="s">
        <v>22</v>
      </c>
      <c r="G107" s="307">
        <v>5</v>
      </c>
      <c r="H107" s="307">
        <v>1</v>
      </c>
      <c r="I107" s="306" t="s">
        <v>22</v>
      </c>
      <c r="J107" s="314" t="s">
        <v>22</v>
      </c>
      <c r="K107" s="314" t="s">
        <v>19</v>
      </c>
      <c r="L107" s="314" t="s">
        <v>78</v>
      </c>
      <c r="M107" s="342" t="s">
        <v>79</v>
      </c>
      <c r="N107" s="309" t="s">
        <v>80</v>
      </c>
      <c r="O107" s="310">
        <v>32571000</v>
      </c>
      <c r="P107" s="311"/>
      <c r="Q107" s="311"/>
      <c r="R107" s="311">
        <f t="shared" si="48"/>
        <v>0</v>
      </c>
      <c r="S107" s="311"/>
      <c r="T107" s="311"/>
      <c r="U107" s="311">
        <f t="shared" si="49"/>
        <v>0</v>
      </c>
      <c r="V107" s="311">
        <f>'[1]SPJ FUNGSIONAL '!$X$107</f>
        <v>21550124</v>
      </c>
      <c r="W107" s="311">
        <v>1615600</v>
      </c>
      <c r="X107" s="311">
        <f t="shared" si="50"/>
        <v>23165724</v>
      </c>
      <c r="Y107" s="311">
        <f t="shared" si="51"/>
        <v>23165724</v>
      </c>
      <c r="Z107" s="310">
        <f t="shared" si="52"/>
        <v>9405276</v>
      </c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</row>
    <row r="108" spans="1:38" s="268" customFormat="1" ht="34.950000000000003" customHeight="1">
      <c r="A108" s="305">
        <v>7</v>
      </c>
      <c r="B108" s="306" t="s">
        <v>19</v>
      </c>
      <c r="C108" s="306" t="s">
        <v>19</v>
      </c>
      <c r="D108" s="307">
        <v>2</v>
      </c>
      <c r="E108" s="306" t="s">
        <v>38</v>
      </c>
      <c r="F108" s="306" t="s">
        <v>22</v>
      </c>
      <c r="G108" s="307">
        <v>5</v>
      </c>
      <c r="H108" s="307">
        <v>1</v>
      </c>
      <c r="I108" s="306" t="s">
        <v>22</v>
      </c>
      <c r="J108" s="314" t="s">
        <v>22</v>
      </c>
      <c r="K108" s="314" t="s">
        <v>19</v>
      </c>
      <c r="L108" s="314" t="s">
        <v>78</v>
      </c>
      <c r="M108" s="342" t="s">
        <v>10</v>
      </c>
      <c r="N108" s="309" t="s">
        <v>81</v>
      </c>
      <c r="O108" s="310">
        <v>44855033</v>
      </c>
      <c r="P108" s="311"/>
      <c r="Q108" s="311"/>
      <c r="R108" s="311">
        <f t="shared" si="48"/>
        <v>0</v>
      </c>
      <c r="S108" s="311"/>
      <c r="T108" s="311"/>
      <c r="U108" s="311">
        <f t="shared" si="49"/>
        <v>0</v>
      </c>
      <c r="V108" s="311">
        <f>'[1]SPJ FUNGSIONAL '!$X$108</f>
        <v>28922026</v>
      </c>
      <c r="W108" s="526">
        <f>4885386-622990</f>
        <v>4262396</v>
      </c>
      <c r="X108" s="311">
        <f t="shared" si="50"/>
        <v>33184422</v>
      </c>
      <c r="Y108" s="311">
        <f t="shared" si="51"/>
        <v>33184422</v>
      </c>
      <c r="Z108" s="310">
        <f t="shared" si="52"/>
        <v>11670611</v>
      </c>
      <c r="AA108" s="267"/>
      <c r="AB108" s="267"/>
      <c r="AC108" s="267"/>
      <c r="AD108" s="267"/>
      <c r="AE108" s="267">
        <v>2112336</v>
      </c>
      <c r="AF108" s="267"/>
      <c r="AG108" s="267"/>
      <c r="AH108" s="267"/>
      <c r="AI108" s="267"/>
      <c r="AJ108" s="267"/>
      <c r="AK108" s="267"/>
      <c r="AL108" s="267"/>
    </row>
    <row r="109" spans="1:38" s="268" customFormat="1" ht="25" customHeight="1">
      <c r="A109" s="325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26"/>
      <c r="N109" s="310"/>
      <c r="O109" s="310"/>
      <c r="P109" s="31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0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</row>
    <row r="110" spans="1:38" s="268" customFormat="1" ht="36" customHeight="1">
      <c r="A110" s="295">
        <v>7</v>
      </c>
      <c r="B110" s="296" t="s">
        <v>19</v>
      </c>
      <c r="C110" s="296" t="s">
        <v>19</v>
      </c>
      <c r="D110" s="297">
        <v>2</v>
      </c>
      <c r="E110" s="296" t="s">
        <v>38</v>
      </c>
      <c r="F110" s="296" t="s">
        <v>54</v>
      </c>
      <c r="G110" s="297"/>
      <c r="H110" s="297"/>
      <c r="I110" s="297"/>
      <c r="J110" s="297"/>
      <c r="K110" s="297"/>
      <c r="L110" s="297"/>
      <c r="M110" s="298"/>
      <c r="N110" s="321" t="s">
        <v>82</v>
      </c>
      <c r="O110" s="300">
        <f>O111</f>
        <v>1054036000</v>
      </c>
      <c r="P110" s="301">
        <f>P111</f>
        <v>0</v>
      </c>
      <c r="Q110" s="301">
        <f>Q111</f>
        <v>0</v>
      </c>
      <c r="R110" s="301">
        <f>P110+Q110</f>
        <v>0</v>
      </c>
      <c r="S110" s="301">
        <f>S111</f>
        <v>0</v>
      </c>
      <c r="T110" s="301">
        <f>T111</f>
        <v>0</v>
      </c>
      <c r="U110" s="301">
        <f t="shared" ref="U110:U119" si="55">S110+T110</f>
        <v>0</v>
      </c>
      <c r="V110" s="301">
        <f>V111</f>
        <v>840058064</v>
      </c>
      <c r="W110" s="301">
        <f>W111</f>
        <v>164022544</v>
      </c>
      <c r="X110" s="301">
        <f t="shared" ref="X110:X119" si="56">V110+W110</f>
        <v>1004080608</v>
      </c>
      <c r="Y110" s="301">
        <f>R110+U110+X110</f>
        <v>1004080608</v>
      </c>
      <c r="Z110" s="300">
        <f>O110-Y110</f>
        <v>49955392</v>
      </c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</row>
    <row r="111" spans="1:38" s="268" customFormat="1" ht="33.65" customHeight="1">
      <c r="A111" s="288">
        <v>7</v>
      </c>
      <c r="B111" s="302" t="s">
        <v>19</v>
      </c>
      <c r="C111" s="302" t="s">
        <v>19</v>
      </c>
      <c r="D111" s="289">
        <v>2</v>
      </c>
      <c r="E111" s="302" t="s">
        <v>38</v>
      </c>
      <c r="F111" s="302" t="s">
        <v>54</v>
      </c>
      <c r="G111" s="289">
        <v>5</v>
      </c>
      <c r="H111" s="289">
        <v>1</v>
      </c>
      <c r="I111" s="302" t="s">
        <v>22</v>
      </c>
      <c r="J111" s="328" t="s">
        <v>22</v>
      </c>
      <c r="K111" s="315"/>
      <c r="L111" s="315"/>
      <c r="M111" s="326"/>
      <c r="N111" s="323" t="s">
        <v>75</v>
      </c>
      <c r="O111" s="317">
        <f>O112+O117</f>
        <v>1054036000</v>
      </c>
      <c r="P111" s="304">
        <f>P112+P117</f>
        <v>0</v>
      </c>
      <c r="Q111" s="304">
        <f>Q112+Q117</f>
        <v>0</v>
      </c>
      <c r="R111" s="304">
        <f>P111+Q111</f>
        <v>0</v>
      </c>
      <c r="S111" s="304">
        <f>S112+S117</f>
        <v>0</v>
      </c>
      <c r="T111" s="304">
        <f>T112+T117</f>
        <v>0</v>
      </c>
      <c r="U111" s="304">
        <f t="shared" si="55"/>
        <v>0</v>
      </c>
      <c r="V111" s="304">
        <f>V112+V117</f>
        <v>840058064</v>
      </c>
      <c r="W111" s="304">
        <f>W112+W117</f>
        <v>164022544</v>
      </c>
      <c r="X111" s="304">
        <f t="shared" si="56"/>
        <v>1004080608</v>
      </c>
      <c r="Y111" s="304">
        <f t="shared" ref="Y111:Y119" si="57">R111+U111+X111</f>
        <v>1004080608</v>
      </c>
      <c r="Z111" s="317">
        <f t="shared" ref="Z111:Z119" si="58">O111-Y111</f>
        <v>49955392</v>
      </c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</row>
    <row r="112" spans="1:38" s="268" customFormat="1" ht="33.65" customHeight="1">
      <c r="A112" s="288">
        <v>7</v>
      </c>
      <c r="B112" s="302" t="s">
        <v>19</v>
      </c>
      <c r="C112" s="302" t="s">
        <v>19</v>
      </c>
      <c r="D112" s="289">
        <v>2</v>
      </c>
      <c r="E112" s="302" t="s">
        <v>38</v>
      </c>
      <c r="F112" s="302" t="s">
        <v>54</v>
      </c>
      <c r="G112" s="289">
        <v>5</v>
      </c>
      <c r="H112" s="289">
        <v>1</v>
      </c>
      <c r="I112" s="302" t="s">
        <v>22</v>
      </c>
      <c r="J112" s="328" t="s">
        <v>22</v>
      </c>
      <c r="K112" s="328" t="s">
        <v>19</v>
      </c>
      <c r="L112" s="315"/>
      <c r="M112" s="326"/>
      <c r="N112" s="323" t="s">
        <v>76</v>
      </c>
      <c r="O112" s="317">
        <f>SUM(O113:O116)</f>
        <v>1041940000</v>
      </c>
      <c r="P112" s="304">
        <f>SUM(P113:P116)</f>
        <v>0</v>
      </c>
      <c r="Q112" s="304">
        <f>SUM(Q113:Q116)</f>
        <v>0</v>
      </c>
      <c r="R112" s="304">
        <f t="shared" ref="R112:R119" si="59">P112+Q112</f>
        <v>0</v>
      </c>
      <c r="S112" s="304">
        <f>SUM(S113:S116)</f>
        <v>0</v>
      </c>
      <c r="T112" s="304">
        <f>SUM(T113:T116)</f>
        <v>0</v>
      </c>
      <c r="U112" s="304">
        <f t="shared" si="55"/>
        <v>0</v>
      </c>
      <c r="V112" s="304">
        <f>SUM(V113:V116)</f>
        <v>834980000</v>
      </c>
      <c r="W112" s="304">
        <f>SUM(W113:W116)</f>
        <v>163300000</v>
      </c>
      <c r="X112" s="304">
        <f t="shared" si="56"/>
        <v>998280000</v>
      </c>
      <c r="Y112" s="304">
        <f t="shared" si="57"/>
        <v>998280000</v>
      </c>
      <c r="Z112" s="317">
        <f t="shared" si="58"/>
        <v>43660000</v>
      </c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</row>
    <row r="113" spans="1:38" s="268" customFormat="1" ht="33.65" customHeight="1">
      <c r="A113" s="305">
        <v>7</v>
      </c>
      <c r="B113" s="306" t="s">
        <v>19</v>
      </c>
      <c r="C113" s="306" t="s">
        <v>19</v>
      </c>
      <c r="D113" s="307">
        <v>2</v>
      </c>
      <c r="E113" s="306" t="s">
        <v>38</v>
      </c>
      <c r="F113" s="306" t="s">
        <v>54</v>
      </c>
      <c r="G113" s="307">
        <v>5</v>
      </c>
      <c r="H113" s="307">
        <v>1</v>
      </c>
      <c r="I113" s="306" t="s">
        <v>22</v>
      </c>
      <c r="J113" s="314" t="s">
        <v>22</v>
      </c>
      <c r="K113" s="314" t="s">
        <v>19</v>
      </c>
      <c r="L113" s="314" t="s">
        <v>56</v>
      </c>
      <c r="M113" s="326">
        <v>6</v>
      </c>
      <c r="N113" s="309" t="s">
        <v>83</v>
      </c>
      <c r="O113" s="310">
        <v>428700000</v>
      </c>
      <c r="P113" s="311"/>
      <c r="Q113" s="311"/>
      <c r="R113" s="311">
        <f t="shared" si="59"/>
        <v>0</v>
      </c>
      <c r="S113" s="311"/>
      <c r="T113" s="311"/>
      <c r="U113" s="311">
        <f t="shared" si="55"/>
        <v>0</v>
      </c>
      <c r="V113" s="311">
        <f>'[1]SPJ FUNGSIONAL '!$X$113</f>
        <v>341500000</v>
      </c>
      <c r="W113" s="311">
        <v>67700000</v>
      </c>
      <c r="X113" s="311">
        <f t="shared" si="56"/>
        <v>409200000</v>
      </c>
      <c r="Y113" s="311">
        <f t="shared" si="57"/>
        <v>409200000</v>
      </c>
      <c r="Z113" s="310">
        <f t="shared" si="58"/>
        <v>19500000</v>
      </c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</row>
    <row r="114" spans="1:38" s="268" customFormat="1" ht="33.65" customHeight="1">
      <c r="A114" s="305">
        <v>7</v>
      </c>
      <c r="B114" s="306" t="s">
        <v>19</v>
      </c>
      <c r="C114" s="306" t="s">
        <v>19</v>
      </c>
      <c r="D114" s="307">
        <v>2</v>
      </c>
      <c r="E114" s="306" t="s">
        <v>38</v>
      </c>
      <c r="F114" s="306" t="s">
        <v>54</v>
      </c>
      <c r="G114" s="307">
        <v>5</v>
      </c>
      <c r="H114" s="307">
        <v>1</v>
      </c>
      <c r="I114" s="306" t="s">
        <v>22</v>
      </c>
      <c r="J114" s="314" t="s">
        <v>22</v>
      </c>
      <c r="K114" s="314" t="s">
        <v>19</v>
      </c>
      <c r="L114" s="314" t="s">
        <v>52</v>
      </c>
      <c r="M114" s="342" t="s">
        <v>79</v>
      </c>
      <c r="N114" s="309" t="s">
        <v>84</v>
      </c>
      <c r="O114" s="310">
        <v>255080000</v>
      </c>
      <c r="P114" s="311"/>
      <c r="Q114" s="311"/>
      <c r="R114" s="311">
        <f t="shared" si="59"/>
        <v>0</v>
      </c>
      <c r="S114" s="311"/>
      <c r="T114" s="311"/>
      <c r="U114" s="311">
        <f t="shared" si="55"/>
        <v>0</v>
      </c>
      <c r="V114" s="311">
        <f>'[1]SPJ FUNGSIONAL '!$X$114</f>
        <v>193160000</v>
      </c>
      <c r="W114" s="311">
        <v>38880000</v>
      </c>
      <c r="X114" s="311">
        <f t="shared" si="56"/>
        <v>232040000</v>
      </c>
      <c r="Y114" s="311">
        <f t="shared" si="57"/>
        <v>232040000</v>
      </c>
      <c r="Z114" s="310">
        <f t="shared" si="58"/>
        <v>23040000</v>
      </c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</row>
    <row r="115" spans="1:38" s="268" customFormat="1" ht="33.65" customHeight="1">
      <c r="A115" s="305">
        <v>7</v>
      </c>
      <c r="B115" s="306" t="s">
        <v>19</v>
      </c>
      <c r="C115" s="306" t="s">
        <v>19</v>
      </c>
      <c r="D115" s="307">
        <v>2</v>
      </c>
      <c r="E115" s="306" t="s">
        <v>38</v>
      </c>
      <c r="F115" s="306" t="s">
        <v>54</v>
      </c>
      <c r="G115" s="307">
        <v>5</v>
      </c>
      <c r="H115" s="307">
        <v>1</v>
      </c>
      <c r="I115" s="306" t="s">
        <v>22</v>
      </c>
      <c r="J115" s="314" t="s">
        <v>22</v>
      </c>
      <c r="K115" s="314" t="s">
        <v>19</v>
      </c>
      <c r="L115" s="314" t="s">
        <v>52</v>
      </c>
      <c r="M115" s="342" t="s">
        <v>10</v>
      </c>
      <c r="N115" s="309" t="s">
        <v>85</v>
      </c>
      <c r="O115" s="310">
        <v>307160000</v>
      </c>
      <c r="P115" s="311"/>
      <c r="Q115" s="311"/>
      <c r="R115" s="311">
        <f t="shared" si="59"/>
        <v>0</v>
      </c>
      <c r="S115" s="311"/>
      <c r="T115" s="311"/>
      <c r="U115" s="311">
        <f t="shared" si="55"/>
        <v>0</v>
      </c>
      <c r="V115" s="311">
        <f>'[1]SPJ FUNGSIONAL '!$X$115</f>
        <v>258040000</v>
      </c>
      <c r="W115" s="311">
        <v>48720000</v>
      </c>
      <c r="X115" s="311">
        <f t="shared" si="56"/>
        <v>306760000</v>
      </c>
      <c r="Y115" s="311">
        <f t="shared" si="57"/>
        <v>306760000</v>
      </c>
      <c r="Z115" s="310">
        <f t="shared" si="58"/>
        <v>400000</v>
      </c>
      <c r="AA115" s="267"/>
      <c r="AB115" s="267"/>
      <c r="AC115" s="267"/>
      <c r="AD115" s="267"/>
      <c r="AE115" s="267">
        <v>20160000</v>
      </c>
      <c r="AF115" s="267"/>
      <c r="AG115" s="267"/>
      <c r="AH115" s="267"/>
      <c r="AI115" s="267"/>
      <c r="AJ115" s="267"/>
      <c r="AK115" s="267"/>
      <c r="AL115" s="267"/>
    </row>
    <row r="116" spans="1:38" s="268" customFormat="1" ht="33.65" customHeight="1">
      <c r="A116" s="305">
        <v>7</v>
      </c>
      <c r="B116" s="306" t="s">
        <v>19</v>
      </c>
      <c r="C116" s="306" t="s">
        <v>19</v>
      </c>
      <c r="D116" s="307">
        <v>2</v>
      </c>
      <c r="E116" s="306" t="s">
        <v>38</v>
      </c>
      <c r="F116" s="306" t="s">
        <v>54</v>
      </c>
      <c r="G116" s="307">
        <v>5</v>
      </c>
      <c r="H116" s="307">
        <v>1</v>
      </c>
      <c r="I116" s="306" t="s">
        <v>22</v>
      </c>
      <c r="J116" s="314" t="s">
        <v>22</v>
      </c>
      <c r="K116" s="314" t="s">
        <v>19</v>
      </c>
      <c r="L116" s="314" t="s">
        <v>52</v>
      </c>
      <c r="M116" s="342" t="s">
        <v>86</v>
      </c>
      <c r="N116" s="309" t="s">
        <v>87</v>
      </c>
      <c r="O116" s="310">
        <v>51000000</v>
      </c>
      <c r="P116" s="311"/>
      <c r="Q116" s="311"/>
      <c r="R116" s="311">
        <f t="shared" si="59"/>
        <v>0</v>
      </c>
      <c r="S116" s="311"/>
      <c r="T116" s="311"/>
      <c r="U116" s="311">
        <f t="shared" si="55"/>
        <v>0</v>
      </c>
      <c r="V116" s="311">
        <f>'[1]SPJ FUNGSIONAL '!$X$116</f>
        <v>42280000</v>
      </c>
      <c r="W116" s="311">
        <v>8000000</v>
      </c>
      <c r="X116" s="311">
        <f t="shared" si="56"/>
        <v>50280000</v>
      </c>
      <c r="Y116" s="311">
        <f t="shared" si="57"/>
        <v>50280000</v>
      </c>
      <c r="Z116" s="310">
        <f t="shared" si="58"/>
        <v>720000</v>
      </c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</row>
    <row r="117" spans="1:38" s="268" customFormat="1" ht="33.65" customHeight="1">
      <c r="A117" s="288">
        <v>7</v>
      </c>
      <c r="B117" s="302" t="s">
        <v>19</v>
      </c>
      <c r="C117" s="302" t="s">
        <v>19</v>
      </c>
      <c r="D117" s="289">
        <v>2</v>
      </c>
      <c r="E117" s="302" t="s">
        <v>38</v>
      </c>
      <c r="F117" s="302" t="s">
        <v>54</v>
      </c>
      <c r="G117" s="289">
        <v>5</v>
      </c>
      <c r="H117" s="289">
        <v>1</v>
      </c>
      <c r="I117" s="302" t="s">
        <v>22</v>
      </c>
      <c r="J117" s="328" t="s">
        <v>22</v>
      </c>
      <c r="K117" s="328" t="s">
        <v>22</v>
      </c>
      <c r="L117" s="315"/>
      <c r="M117" s="326"/>
      <c r="N117" s="323" t="s">
        <v>88</v>
      </c>
      <c r="O117" s="317">
        <f>O118+O119</f>
        <v>12096000</v>
      </c>
      <c r="P117" s="304">
        <f>P118+P119</f>
        <v>0</v>
      </c>
      <c r="Q117" s="304">
        <f>Q118+Q119</f>
        <v>0</v>
      </c>
      <c r="R117" s="304">
        <f t="shared" si="59"/>
        <v>0</v>
      </c>
      <c r="S117" s="304">
        <f>S118+S119</f>
        <v>0</v>
      </c>
      <c r="T117" s="304">
        <f>T118+T119</f>
        <v>0</v>
      </c>
      <c r="U117" s="304">
        <f t="shared" si="55"/>
        <v>0</v>
      </c>
      <c r="V117" s="304">
        <f>V118+V119</f>
        <v>5078064</v>
      </c>
      <c r="W117" s="304">
        <f>W118+W119</f>
        <v>722544</v>
      </c>
      <c r="X117" s="304">
        <f t="shared" si="56"/>
        <v>5800608</v>
      </c>
      <c r="Y117" s="304">
        <f t="shared" si="57"/>
        <v>5800608</v>
      </c>
      <c r="Z117" s="317">
        <f t="shared" si="58"/>
        <v>6295392</v>
      </c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</row>
    <row r="118" spans="1:38" s="268" customFormat="1" ht="40.5" customHeight="1">
      <c r="A118" s="305">
        <v>7</v>
      </c>
      <c r="B118" s="306" t="s">
        <v>19</v>
      </c>
      <c r="C118" s="306" t="s">
        <v>19</v>
      </c>
      <c r="D118" s="307">
        <v>2</v>
      </c>
      <c r="E118" s="306" t="s">
        <v>38</v>
      </c>
      <c r="F118" s="306" t="s">
        <v>54</v>
      </c>
      <c r="G118" s="307">
        <v>5</v>
      </c>
      <c r="H118" s="307">
        <v>1</v>
      </c>
      <c r="I118" s="306" t="s">
        <v>22</v>
      </c>
      <c r="J118" s="314" t="s">
        <v>22</v>
      </c>
      <c r="K118" s="314" t="s">
        <v>22</v>
      </c>
      <c r="L118" s="314" t="s">
        <v>27</v>
      </c>
      <c r="M118" s="342" t="s">
        <v>89</v>
      </c>
      <c r="N118" s="318" t="s">
        <v>90</v>
      </c>
      <c r="O118" s="310">
        <v>3024000</v>
      </c>
      <c r="P118" s="311"/>
      <c r="Q118" s="311"/>
      <c r="R118" s="311">
        <f t="shared" si="59"/>
        <v>0</v>
      </c>
      <c r="S118" s="311"/>
      <c r="T118" s="311"/>
      <c r="U118" s="311">
        <f t="shared" si="55"/>
        <v>0</v>
      </c>
      <c r="V118" s="311">
        <f>'[1]SPJ FUNGSIONAL '!$X$118</f>
        <v>2256840</v>
      </c>
      <c r="W118" s="311">
        <v>330168</v>
      </c>
      <c r="X118" s="311">
        <f t="shared" si="56"/>
        <v>2587008</v>
      </c>
      <c r="Y118" s="311">
        <f t="shared" si="57"/>
        <v>2587008</v>
      </c>
      <c r="Z118" s="310">
        <f t="shared" si="58"/>
        <v>436992</v>
      </c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</row>
    <row r="119" spans="1:38" s="268" customFormat="1" ht="33.65" customHeight="1">
      <c r="A119" s="305">
        <v>7</v>
      </c>
      <c r="B119" s="306" t="s">
        <v>19</v>
      </c>
      <c r="C119" s="306" t="s">
        <v>19</v>
      </c>
      <c r="D119" s="307">
        <v>2</v>
      </c>
      <c r="E119" s="306" t="s">
        <v>38</v>
      </c>
      <c r="F119" s="306" t="s">
        <v>54</v>
      </c>
      <c r="G119" s="307">
        <v>5</v>
      </c>
      <c r="H119" s="307">
        <v>1</v>
      </c>
      <c r="I119" s="306" t="s">
        <v>22</v>
      </c>
      <c r="J119" s="314" t="s">
        <v>22</v>
      </c>
      <c r="K119" s="314" t="s">
        <v>22</v>
      </c>
      <c r="L119" s="314" t="s">
        <v>27</v>
      </c>
      <c r="M119" s="342" t="s">
        <v>14</v>
      </c>
      <c r="N119" s="309" t="s">
        <v>91</v>
      </c>
      <c r="O119" s="310">
        <v>9072000</v>
      </c>
      <c r="P119" s="311"/>
      <c r="Q119" s="311"/>
      <c r="R119" s="311">
        <f t="shared" si="59"/>
        <v>0</v>
      </c>
      <c r="S119" s="311"/>
      <c r="T119" s="311"/>
      <c r="U119" s="311">
        <f t="shared" si="55"/>
        <v>0</v>
      </c>
      <c r="V119" s="311">
        <f>'[1]SPJ FUNGSIONAL '!$X$119</f>
        <v>2821224</v>
      </c>
      <c r="W119" s="311">
        <v>392376</v>
      </c>
      <c r="X119" s="311">
        <f t="shared" si="56"/>
        <v>3213600</v>
      </c>
      <c r="Y119" s="311">
        <f t="shared" si="57"/>
        <v>3213600</v>
      </c>
      <c r="Z119" s="310">
        <f t="shared" si="58"/>
        <v>5858400</v>
      </c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</row>
    <row r="120" spans="1:38" s="268" customFormat="1" ht="25" customHeight="1">
      <c r="A120" s="305"/>
      <c r="B120" s="307"/>
      <c r="C120" s="307"/>
      <c r="D120" s="307"/>
      <c r="E120" s="307"/>
      <c r="F120" s="307"/>
      <c r="G120" s="307"/>
      <c r="H120" s="307"/>
      <c r="I120" s="307"/>
      <c r="J120" s="315"/>
      <c r="K120" s="315"/>
      <c r="L120" s="315"/>
      <c r="M120" s="326"/>
      <c r="N120" s="309"/>
      <c r="O120" s="310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0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</row>
    <row r="121" spans="1:38" s="268" customFormat="1" ht="55.5" customHeight="1">
      <c r="A121" s="279">
        <v>7</v>
      </c>
      <c r="B121" s="280" t="s">
        <v>19</v>
      </c>
      <c r="C121" s="280" t="s">
        <v>19</v>
      </c>
      <c r="D121" s="281">
        <v>2</v>
      </c>
      <c r="E121" s="280" t="s">
        <v>40</v>
      </c>
      <c r="F121" s="281"/>
      <c r="G121" s="281"/>
      <c r="H121" s="281"/>
      <c r="I121" s="281"/>
      <c r="J121" s="281"/>
      <c r="K121" s="281"/>
      <c r="L121" s="281"/>
      <c r="M121" s="282"/>
      <c r="N121" s="283" t="s">
        <v>92</v>
      </c>
      <c r="O121" s="284">
        <f>O123+O136+O150</f>
        <v>378544600</v>
      </c>
      <c r="P121" s="284">
        <f t="shared" ref="P121:Q121" si="60">P123+P136+P150</f>
        <v>0</v>
      </c>
      <c r="Q121" s="284">
        <f t="shared" si="60"/>
        <v>0</v>
      </c>
      <c r="R121" s="285">
        <f>P121+Q121</f>
        <v>0</v>
      </c>
      <c r="S121" s="284">
        <f t="shared" ref="S121:T121" si="61">S123+S136+S150</f>
        <v>0</v>
      </c>
      <c r="T121" s="284">
        <f t="shared" si="61"/>
        <v>0</v>
      </c>
      <c r="U121" s="285">
        <f>S121+T121</f>
        <v>0</v>
      </c>
      <c r="V121" s="284">
        <f t="shared" ref="V121:W121" si="62">V123+V136+V150</f>
        <v>244401603</v>
      </c>
      <c r="W121" s="284">
        <f t="shared" si="62"/>
        <v>51011400</v>
      </c>
      <c r="X121" s="285">
        <f>V121+W121</f>
        <v>295413003</v>
      </c>
      <c r="Y121" s="285">
        <f>R121+U121+X121</f>
        <v>295413003</v>
      </c>
      <c r="Z121" s="284">
        <f>O121-Y121</f>
        <v>83131597</v>
      </c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</row>
    <row r="122" spans="1:38" s="278" customFormat="1" ht="13.5" customHeight="1">
      <c r="A122" s="288"/>
      <c r="B122" s="289"/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90"/>
      <c r="N122" s="322"/>
      <c r="O122" s="292"/>
      <c r="P122" s="303"/>
      <c r="Q122" s="303"/>
      <c r="R122" s="303"/>
      <c r="S122" s="303"/>
      <c r="T122" s="303"/>
      <c r="U122" s="303"/>
      <c r="V122" s="303"/>
      <c r="W122" s="303"/>
      <c r="X122" s="303"/>
      <c r="Y122" s="293"/>
      <c r="Z122" s="294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</row>
    <row r="123" spans="1:38" s="268" customFormat="1" ht="74.25" customHeight="1">
      <c r="A123" s="295">
        <v>7</v>
      </c>
      <c r="B123" s="296" t="s">
        <v>19</v>
      </c>
      <c r="C123" s="296" t="s">
        <v>19</v>
      </c>
      <c r="D123" s="297">
        <v>2</v>
      </c>
      <c r="E123" s="296" t="s">
        <v>40</v>
      </c>
      <c r="F123" s="296" t="s">
        <v>22</v>
      </c>
      <c r="G123" s="297"/>
      <c r="H123" s="297"/>
      <c r="I123" s="297"/>
      <c r="J123" s="297"/>
      <c r="K123" s="297"/>
      <c r="L123" s="297"/>
      <c r="M123" s="298"/>
      <c r="N123" s="321" t="s">
        <v>93</v>
      </c>
      <c r="O123" s="300">
        <f>O124</f>
        <v>200822100</v>
      </c>
      <c r="P123" s="301">
        <f>P124</f>
        <v>0</v>
      </c>
      <c r="Q123" s="301">
        <f>Q124</f>
        <v>0</v>
      </c>
      <c r="R123" s="301">
        <f>P123+Q123</f>
        <v>0</v>
      </c>
      <c r="S123" s="301">
        <f>S124</f>
        <v>0</v>
      </c>
      <c r="T123" s="301">
        <f>T124</f>
        <v>0</v>
      </c>
      <c r="U123" s="301">
        <f>S123+T123</f>
        <v>0</v>
      </c>
      <c r="V123" s="301">
        <f>V124</f>
        <v>141922900</v>
      </c>
      <c r="W123" s="301">
        <f>W124</f>
        <v>26022900</v>
      </c>
      <c r="X123" s="301">
        <f>V123+W123</f>
        <v>167945800</v>
      </c>
      <c r="Y123" s="301">
        <f>R123+U123+X123</f>
        <v>167945800</v>
      </c>
      <c r="Z123" s="300">
        <f>O123-Y123</f>
        <v>32876300</v>
      </c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</row>
    <row r="124" spans="1:38" s="268" customFormat="1" ht="36" customHeight="1">
      <c r="A124" s="288">
        <v>7</v>
      </c>
      <c r="B124" s="302" t="s">
        <v>19</v>
      </c>
      <c r="C124" s="302" t="s">
        <v>19</v>
      </c>
      <c r="D124" s="289">
        <v>2</v>
      </c>
      <c r="E124" s="302" t="s">
        <v>40</v>
      </c>
      <c r="F124" s="302" t="s">
        <v>22</v>
      </c>
      <c r="G124" s="289">
        <v>5</v>
      </c>
      <c r="H124" s="289">
        <v>1</v>
      </c>
      <c r="I124" s="302" t="s">
        <v>22</v>
      </c>
      <c r="J124" s="329"/>
      <c r="K124" s="315"/>
      <c r="L124" s="315"/>
      <c r="M124" s="326"/>
      <c r="N124" s="323" t="s">
        <v>49</v>
      </c>
      <c r="O124" s="317">
        <f>O125+O128+O132</f>
        <v>200822100</v>
      </c>
      <c r="P124" s="304">
        <f>P125+P128+P132</f>
        <v>0</v>
      </c>
      <c r="Q124" s="304">
        <f>Q125+Q128+Q132</f>
        <v>0</v>
      </c>
      <c r="R124" s="304">
        <f t="shared" ref="R124:R134" si="63">P124+Q124</f>
        <v>0</v>
      </c>
      <c r="S124" s="304">
        <f>S125+S128+S132</f>
        <v>0</v>
      </c>
      <c r="T124" s="304">
        <f>T125+T128+T132</f>
        <v>0</v>
      </c>
      <c r="U124" s="304">
        <f t="shared" ref="U124:U134" si="64">S124+T124</f>
        <v>0</v>
      </c>
      <c r="V124" s="304">
        <f>V125+V128+V132</f>
        <v>141922900</v>
      </c>
      <c r="W124" s="304">
        <f>W125+W128+W132</f>
        <v>26022900</v>
      </c>
      <c r="X124" s="304">
        <f t="shared" ref="X124:X134" si="65">V124+W124</f>
        <v>167945800</v>
      </c>
      <c r="Y124" s="304">
        <f t="shared" ref="Y124:Y134" si="66">R124+U124+X124</f>
        <v>167945800</v>
      </c>
      <c r="Z124" s="317">
        <f t="shared" ref="Z124:Z134" si="67">O124-Y124</f>
        <v>32876300</v>
      </c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</row>
    <row r="125" spans="1:38" s="268" customFormat="1" ht="36" customHeight="1">
      <c r="A125" s="288">
        <v>7</v>
      </c>
      <c r="B125" s="302" t="s">
        <v>19</v>
      </c>
      <c r="C125" s="302" t="s">
        <v>19</v>
      </c>
      <c r="D125" s="289">
        <v>2</v>
      </c>
      <c r="E125" s="302" t="s">
        <v>40</v>
      </c>
      <c r="F125" s="302" t="s">
        <v>22</v>
      </c>
      <c r="G125" s="289">
        <v>5</v>
      </c>
      <c r="H125" s="289">
        <v>1</v>
      </c>
      <c r="I125" s="302" t="s">
        <v>22</v>
      </c>
      <c r="J125" s="328" t="s">
        <v>19</v>
      </c>
      <c r="K125" s="315"/>
      <c r="L125" s="315"/>
      <c r="M125" s="326"/>
      <c r="N125" s="323" t="s">
        <v>65</v>
      </c>
      <c r="O125" s="317">
        <f t="shared" ref="O125:Q126" si="68">O126</f>
        <v>93922100</v>
      </c>
      <c r="P125" s="304">
        <f t="shared" si="68"/>
        <v>0</v>
      </c>
      <c r="Q125" s="304">
        <f t="shared" si="68"/>
        <v>0</v>
      </c>
      <c r="R125" s="304">
        <f t="shared" si="63"/>
        <v>0</v>
      </c>
      <c r="S125" s="304">
        <f>S126</f>
        <v>0</v>
      </c>
      <c r="T125" s="304">
        <f>T126</f>
        <v>0</v>
      </c>
      <c r="U125" s="304">
        <f t="shared" si="64"/>
        <v>0</v>
      </c>
      <c r="V125" s="304">
        <f>V126</f>
        <v>75651000</v>
      </c>
      <c r="W125" s="304">
        <f>W126</f>
        <v>9295000</v>
      </c>
      <c r="X125" s="304">
        <f t="shared" si="65"/>
        <v>84946000</v>
      </c>
      <c r="Y125" s="304">
        <f t="shared" si="66"/>
        <v>84946000</v>
      </c>
      <c r="Z125" s="317">
        <f t="shared" si="67"/>
        <v>8976100</v>
      </c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</row>
    <row r="126" spans="1:38" s="268" customFormat="1" ht="36" customHeight="1">
      <c r="A126" s="305">
        <v>7</v>
      </c>
      <c r="B126" s="306" t="s">
        <v>19</v>
      </c>
      <c r="C126" s="306" t="s">
        <v>19</v>
      </c>
      <c r="D126" s="307">
        <v>2</v>
      </c>
      <c r="E126" s="306" t="s">
        <v>40</v>
      </c>
      <c r="F126" s="306" t="s">
        <v>22</v>
      </c>
      <c r="G126" s="307">
        <v>5</v>
      </c>
      <c r="H126" s="307">
        <v>1</v>
      </c>
      <c r="I126" s="306" t="s">
        <v>22</v>
      </c>
      <c r="J126" s="314" t="s">
        <v>19</v>
      </c>
      <c r="K126" s="314" t="s">
        <v>19</v>
      </c>
      <c r="L126" s="315"/>
      <c r="M126" s="326"/>
      <c r="N126" s="322" t="s">
        <v>51</v>
      </c>
      <c r="O126" s="317">
        <f t="shared" si="68"/>
        <v>93922100</v>
      </c>
      <c r="P126" s="304">
        <f t="shared" si="68"/>
        <v>0</v>
      </c>
      <c r="Q126" s="304">
        <f t="shared" si="68"/>
        <v>0</v>
      </c>
      <c r="R126" s="304">
        <f t="shared" si="63"/>
        <v>0</v>
      </c>
      <c r="S126" s="304">
        <f>S127</f>
        <v>0</v>
      </c>
      <c r="T126" s="304">
        <f>T127</f>
        <v>0</v>
      </c>
      <c r="U126" s="304">
        <f t="shared" si="64"/>
        <v>0</v>
      </c>
      <c r="V126" s="304">
        <f>V127</f>
        <v>75651000</v>
      </c>
      <c r="W126" s="304">
        <f>W127</f>
        <v>9295000</v>
      </c>
      <c r="X126" s="304">
        <f t="shared" si="65"/>
        <v>84946000</v>
      </c>
      <c r="Y126" s="304">
        <f t="shared" si="66"/>
        <v>84946000</v>
      </c>
      <c r="Z126" s="317">
        <f t="shared" si="67"/>
        <v>8976100</v>
      </c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</row>
    <row r="127" spans="1:38" s="268" customFormat="1" ht="36" customHeight="1">
      <c r="A127" s="305">
        <v>7</v>
      </c>
      <c r="B127" s="306" t="s">
        <v>19</v>
      </c>
      <c r="C127" s="306" t="s">
        <v>19</v>
      </c>
      <c r="D127" s="307">
        <v>2</v>
      </c>
      <c r="E127" s="306" t="s">
        <v>40</v>
      </c>
      <c r="F127" s="306" t="s">
        <v>22</v>
      </c>
      <c r="G127" s="307">
        <v>5</v>
      </c>
      <c r="H127" s="307">
        <v>1</v>
      </c>
      <c r="I127" s="306" t="s">
        <v>22</v>
      </c>
      <c r="J127" s="314" t="s">
        <v>19</v>
      </c>
      <c r="K127" s="314" t="s">
        <v>19</v>
      </c>
      <c r="L127" s="314" t="s">
        <v>27</v>
      </c>
      <c r="M127" s="342" t="s">
        <v>11</v>
      </c>
      <c r="N127" s="309" t="s">
        <v>94</v>
      </c>
      <c r="O127" s="310">
        <v>93922100</v>
      </c>
      <c r="P127" s="311"/>
      <c r="Q127" s="311"/>
      <c r="R127" s="311">
        <f t="shared" si="63"/>
        <v>0</v>
      </c>
      <c r="S127" s="311"/>
      <c r="T127" s="311"/>
      <c r="U127" s="311">
        <f t="shared" si="64"/>
        <v>0</v>
      </c>
      <c r="V127" s="311">
        <f>'[1]SPJ FUNGSIONAL '!$X$127</f>
        <v>75651000</v>
      </c>
      <c r="W127" s="311">
        <v>9295000</v>
      </c>
      <c r="X127" s="311">
        <f t="shared" si="65"/>
        <v>84946000</v>
      </c>
      <c r="Y127" s="311">
        <f t="shared" si="66"/>
        <v>84946000</v>
      </c>
      <c r="Z127" s="310">
        <f t="shared" si="67"/>
        <v>8976100</v>
      </c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</row>
    <row r="128" spans="1:38" s="268" customFormat="1" ht="36" customHeight="1">
      <c r="A128" s="288">
        <v>7</v>
      </c>
      <c r="B128" s="302" t="s">
        <v>19</v>
      </c>
      <c r="C128" s="302" t="s">
        <v>19</v>
      </c>
      <c r="D128" s="289">
        <v>2</v>
      </c>
      <c r="E128" s="302" t="s">
        <v>40</v>
      </c>
      <c r="F128" s="302" t="s">
        <v>22</v>
      </c>
      <c r="G128" s="289">
        <v>5</v>
      </c>
      <c r="H128" s="289">
        <v>1</v>
      </c>
      <c r="I128" s="302" t="s">
        <v>22</v>
      </c>
      <c r="J128" s="328" t="s">
        <v>22</v>
      </c>
      <c r="K128" s="315"/>
      <c r="L128" s="315"/>
      <c r="M128" s="326"/>
      <c r="N128" s="323" t="s">
        <v>75</v>
      </c>
      <c r="O128" s="317">
        <f t="shared" ref="O128:Q128" si="69">O129</f>
        <v>14800000</v>
      </c>
      <c r="P128" s="304">
        <f t="shared" si="69"/>
        <v>0</v>
      </c>
      <c r="Q128" s="304">
        <f t="shared" si="69"/>
        <v>0</v>
      </c>
      <c r="R128" s="304">
        <f t="shared" si="63"/>
        <v>0</v>
      </c>
      <c r="S128" s="304">
        <f>S129</f>
        <v>0</v>
      </c>
      <c r="T128" s="304">
        <f>T129</f>
        <v>0</v>
      </c>
      <c r="U128" s="304">
        <f t="shared" si="64"/>
        <v>0</v>
      </c>
      <c r="V128" s="304">
        <f>V129</f>
        <v>4388500</v>
      </c>
      <c r="W128" s="304">
        <f>W129</f>
        <v>3097400</v>
      </c>
      <c r="X128" s="304">
        <f t="shared" si="65"/>
        <v>7485900</v>
      </c>
      <c r="Y128" s="304">
        <f t="shared" si="66"/>
        <v>7485900</v>
      </c>
      <c r="Z128" s="317">
        <f t="shared" si="67"/>
        <v>7314100</v>
      </c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</row>
    <row r="129" spans="1:38" s="268" customFormat="1" ht="36" customHeight="1">
      <c r="A129" s="288">
        <v>7</v>
      </c>
      <c r="B129" s="302" t="s">
        <v>19</v>
      </c>
      <c r="C129" s="302" t="s">
        <v>19</v>
      </c>
      <c r="D129" s="289">
        <v>2</v>
      </c>
      <c r="E129" s="302" t="s">
        <v>40</v>
      </c>
      <c r="F129" s="302" t="s">
        <v>22</v>
      </c>
      <c r="G129" s="289">
        <v>5</v>
      </c>
      <c r="H129" s="289">
        <v>1</v>
      </c>
      <c r="I129" s="302" t="s">
        <v>22</v>
      </c>
      <c r="J129" s="328" t="s">
        <v>22</v>
      </c>
      <c r="K129" s="328" t="s">
        <v>19</v>
      </c>
      <c r="L129" s="315"/>
      <c r="M129" s="326"/>
      <c r="N129" s="323" t="s">
        <v>76</v>
      </c>
      <c r="O129" s="317">
        <f>O130+O131</f>
        <v>14800000</v>
      </c>
      <c r="P129" s="304">
        <f>P131</f>
        <v>0</v>
      </c>
      <c r="Q129" s="304">
        <f>Q131</f>
        <v>0</v>
      </c>
      <c r="R129" s="304">
        <f t="shared" si="63"/>
        <v>0</v>
      </c>
      <c r="S129" s="304">
        <f>S131</f>
        <v>0</v>
      </c>
      <c r="T129" s="304">
        <f>T131</f>
        <v>0</v>
      </c>
      <c r="U129" s="304">
        <f t="shared" si="64"/>
        <v>0</v>
      </c>
      <c r="V129" s="392">
        <f t="shared" ref="V129:W129" si="70">V130+V131</f>
        <v>4388500</v>
      </c>
      <c r="W129" s="344">
        <f t="shared" si="70"/>
        <v>3097400</v>
      </c>
      <c r="X129" s="304">
        <f t="shared" si="65"/>
        <v>7485900</v>
      </c>
      <c r="Y129" s="304">
        <f>R129+U129+X129</f>
        <v>7485900</v>
      </c>
      <c r="Z129" s="317">
        <f t="shared" si="67"/>
        <v>7314100</v>
      </c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</row>
    <row r="130" spans="1:38" s="268" customFormat="1" ht="36" customHeight="1">
      <c r="A130" s="305">
        <v>7</v>
      </c>
      <c r="B130" s="306" t="s">
        <v>19</v>
      </c>
      <c r="C130" s="306" t="s">
        <v>19</v>
      </c>
      <c r="D130" s="307">
        <v>2</v>
      </c>
      <c r="E130" s="306" t="s">
        <v>40</v>
      </c>
      <c r="F130" s="306" t="s">
        <v>22</v>
      </c>
      <c r="G130" s="307">
        <v>5</v>
      </c>
      <c r="H130" s="307">
        <v>1</v>
      </c>
      <c r="I130" s="306" t="s">
        <v>22</v>
      </c>
      <c r="J130" s="314" t="s">
        <v>22</v>
      </c>
      <c r="K130" s="314" t="s">
        <v>19</v>
      </c>
      <c r="L130" s="314" t="s">
        <v>66</v>
      </c>
      <c r="M130" s="342">
        <v>0</v>
      </c>
      <c r="N130" s="309" t="s">
        <v>235</v>
      </c>
      <c r="O130" s="310">
        <v>300000</v>
      </c>
      <c r="P130" s="304"/>
      <c r="Q130" s="304"/>
      <c r="R130" s="304"/>
      <c r="S130" s="304"/>
      <c r="T130" s="304"/>
      <c r="U130" s="304"/>
      <c r="V130" s="311">
        <f>'[6]SPJ FUNGSIONAL '!$X$130</f>
        <v>230000</v>
      </c>
      <c r="W130" s="311"/>
      <c r="X130" s="311">
        <f t="shared" ref="X130" si="71">V130+W130</f>
        <v>230000</v>
      </c>
      <c r="Y130" s="311">
        <f t="shared" ref="Y130" si="72">R130+U130+X130</f>
        <v>230000</v>
      </c>
      <c r="Z130" s="310">
        <f t="shared" ref="Z130" si="73">O130-Y130</f>
        <v>70000</v>
      </c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</row>
    <row r="131" spans="1:38" s="268" customFormat="1" ht="36" customHeight="1">
      <c r="A131" s="305">
        <v>7</v>
      </c>
      <c r="B131" s="306" t="s">
        <v>19</v>
      </c>
      <c r="C131" s="306" t="s">
        <v>19</v>
      </c>
      <c r="D131" s="307">
        <v>2</v>
      </c>
      <c r="E131" s="306" t="s">
        <v>40</v>
      </c>
      <c r="F131" s="306" t="s">
        <v>22</v>
      </c>
      <c r="G131" s="307">
        <v>5</v>
      </c>
      <c r="H131" s="307">
        <v>1</v>
      </c>
      <c r="I131" s="306" t="s">
        <v>22</v>
      </c>
      <c r="J131" s="314" t="s">
        <v>22</v>
      </c>
      <c r="K131" s="314" t="s">
        <v>19</v>
      </c>
      <c r="L131" s="314" t="s">
        <v>78</v>
      </c>
      <c r="M131" s="342" t="s">
        <v>14</v>
      </c>
      <c r="N131" s="309" t="s">
        <v>95</v>
      </c>
      <c r="O131" s="310">
        <v>14500000</v>
      </c>
      <c r="P131" s="311"/>
      <c r="Q131" s="311"/>
      <c r="R131" s="311">
        <f t="shared" si="63"/>
        <v>0</v>
      </c>
      <c r="S131" s="311"/>
      <c r="T131" s="311"/>
      <c r="U131" s="311">
        <f t="shared" si="64"/>
        <v>0</v>
      </c>
      <c r="V131" s="311">
        <f>'[1]SPJ FUNGSIONAL '!$X$131</f>
        <v>4158500</v>
      </c>
      <c r="W131" s="311">
        <v>3097400</v>
      </c>
      <c r="X131" s="311">
        <f t="shared" si="65"/>
        <v>7255900</v>
      </c>
      <c r="Y131" s="311">
        <f t="shared" si="66"/>
        <v>7255900</v>
      </c>
      <c r="Z131" s="310">
        <f t="shared" si="67"/>
        <v>7244100</v>
      </c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</row>
    <row r="132" spans="1:38" s="268" customFormat="1" ht="36" customHeight="1">
      <c r="A132" s="288">
        <v>7</v>
      </c>
      <c r="B132" s="302" t="s">
        <v>19</v>
      </c>
      <c r="C132" s="302" t="s">
        <v>19</v>
      </c>
      <c r="D132" s="289">
        <v>2</v>
      </c>
      <c r="E132" s="302" t="s">
        <v>40</v>
      </c>
      <c r="F132" s="302" t="s">
        <v>22</v>
      </c>
      <c r="G132" s="289">
        <v>5</v>
      </c>
      <c r="H132" s="289">
        <v>1</v>
      </c>
      <c r="I132" s="302" t="s">
        <v>22</v>
      </c>
      <c r="J132" s="328" t="s">
        <v>30</v>
      </c>
      <c r="K132" s="315"/>
      <c r="L132" s="315"/>
      <c r="M132" s="326"/>
      <c r="N132" s="323" t="s">
        <v>96</v>
      </c>
      <c r="O132" s="317">
        <f t="shared" ref="O132:Q133" si="74">O133</f>
        <v>92100000</v>
      </c>
      <c r="P132" s="304">
        <f t="shared" si="74"/>
        <v>0</v>
      </c>
      <c r="Q132" s="304">
        <f t="shared" si="74"/>
        <v>0</v>
      </c>
      <c r="R132" s="304">
        <f t="shared" si="63"/>
        <v>0</v>
      </c>
      <c r="S132" s="304">
        <f>S133</f>
        <v>0</v>
      </c>
      <c r="T132" s="304">
        <f>T133</f>
        <v>0</v>
      </c>
      <c r="U132" s="304">
        <f t="shared" si="64"/>
        <v>0</v>
      </c>
      <c r="V132" s="304">
        <f>V133</f>
        <v>61883400</v>
      </c>
      <c r="W132" s="304">
        <f>W133</f>
        <v>13630500</v>
      </c>
      <c r="X132" s="304">
        <f t="shared" si="65"/>
        <v>75513900</v>
      </c>
      <c r="Y132" s="304">
        <f t="shared" si="66"/>
        <v>75513900</v>
      </c>
      <c r="Z132" s="317">
        <f t="shared" si="67"/>
        <v>16586100</v>
      </c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</row>
    <row r="133" spans="1:38" s="268" customFormat="1" ht="36" customHeight="1">
      <c r="A133" s="288">
        <v>7</v>
      </c>
      <c r="B133" s="302" t="s">
        <v>19</v>
      </c>
      <c r="C133" s="302" t="s">
        <v>19</v>
      </c>
      <c r="D133" s="289">
        <v>2</v>
      </c>
      <c r="E133" s="302" t="s">
        <v>40</v>
      </c>
      <c r="F133" s="302" t="s">
        <v>22</v>
      </c>
      <c r="G133" s="289">
        <v>5</v>
      </c>
      <c r="H133" s="289">
        <v>1</v>
      </c>
      <c r="I133" s="302" t="s">
        <v>22</v>
      </c>
      <c r="J133" s="328" t="s">
        <v>30</v>
      </c>
      <c r="K133" s="328" t="s">
        <v>22</v>
      </c>
      <c r="L133" s="315"/>
      <c r="M133" s="326"/>
      <c r="N133" s="323" t="s">
        <v>97</v>
      </c>
      <c r="O133" s="317">
        <f t="shared" si="74"/>
        <v>92100000</v>
      </c>
      <c r="P133" s="304">
        <f t="shared" si="74"/>
        <v>0</v>
      </c>
      <c r="Q133" s="304">
        <f t="shared" si="74"/>
        <v>0</v>
      </c>
      <c r="R133" s="304">
        <f t="shared" si="63"/>
        <v>0</v>
      </c>
      <c r="S133" s="304">
        <f>S134</f>
        <v>0</v>
      </c>
      <c r="T133" s="304">
        <f>T134</f>
        <v>0</v>
      </c>
      <c r="U133" s="304">
        <f t="shared" si="64"/>
        <v>0</v>
      </c>
      <c r="V133" s="304">
        <f>V134</f>
        <v>61883400</v>
      </c>
      <c r="W133" s="304">
        <f>W134</f>
        <v>13630500</v>
      </c>
      <c r="X133" s="304">
        <f t="shared" si="65"/>
        <v>75513900</v>
      </c>
      <c r="Y133" s="304">
        <f t="shared" si="66"/>
        <v>75513900</v>
      </c>
      <c r="Z133" s="317">
        <f t="shared" si="67"/>
        <v>16586100</v>
      </c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</row>
    <row r="134" spans="1:38" s="268" customFormat="1" ht="55.5" customHeight="1">
      <c r="A134" s="305">
        <v>7</v>
      </c>
      <c r="B134" s="306" t="s">
        <v>19</v>
      </c>
      <c r="C134" s="306" t="s">
        <v>19</v>
      </c>
      <c r="D134" s="307">
        <v>2</v>
      </c>
      <c r="E134" s="306" t="s">
        <v>40</v>
      </c>
      <c r="F134" s="306" t="s">
        <v>22</v>
      </c>
      <c r="G134" s="307">
        <v>5</v>
      </c>
      <c r="H134" s="307">
        <v>1</v>
      </c>
      <c r="I134" s="306" t="s">
        <v>22</v>
      </c>
      <c r="J134" s="314" t="s">
        <v>30</v>
      </c>
      <c r="K134" s="314" t="s">
        <v>22</v>
      </c>
      <c r="L134" s="314" t="s">
        <v>52</v>
      </c>
      <c r="M134" s="342" t="s">
        <v>12</v>
      </c>
      <c r="N134" s="318" t="s">
        <v>98</v>
      </c>
      <c r="O134" s="310">
        <v>92100000</v>
      </c>
      <c r="P134" s="311"/>
      <c r="Q134" s="311"/>
      <c r="R134" s="311">
        <f t="shared" si="63"/>
        <v>0</v>
      </c>
      <c r="S134" s="311"/>
      <c r="T134" s="311"/>
      <c r="U134" s="311">
        <f t="shared" si="64"/>
        <v>0</v>
      </c>
      <c r="V134" s="311">
        <f>'[1]SPJ FUNGSIONAL '!$X$134</f>
        <v>61883400</v>
      </c>
      <c r="W134" s="311">
        <v>13630500</v>
      </c>
      <c r="X134" s="311">
        <f t="shared" si="65"/>
        <v>75513900</v>
      </c>
      <c r="Y134" s="311">
        <f t="shared" si="66"/>
        <v>75513900</v>
      </c>
      <c r="Z134" s="310">
        <f t="shared" si="67"/>
        <v>16586100</v>
      </c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</row>
    <row r="135" spans="1:38" s="268" customFormat="1" ht="19.5" customHeight="1">
      <c r="A135" s="305"/>
      <c r="B135" s="307"/>
      <c r="C135" s="307"/>
      <c r="D135" s="307"/>
      <c r="E135" s="307"/>
      <c r="F135" s="307"/>
      <c r="G135" s="307"/>
      <c r="H135" s="307"/>
      <c r="I135" s="307"/>
      <c r="J135" s="315"/>
      <c r="K135" s="315"/>
      <c r="L135" s="315"/>
      <c r="M135" s="326"/>
      <c r="N135" s="318"/>
      <c r="O135" s="310"/>
      <c r="P135" s="311"/>
      <c r="Q135" s="311"/>
      <c r="R135" s="311"/>
      <c r="S135" s="311"/>
      <c r="T135" s="311"/>
      <c r="U135" s="311"/>
      <c r="V135" s="311"/>
      <c r="W135" s="311"/>
      <c r="X135" s="311"/>
      <c r="Y135" s="311"/>
      <c r="Z135" s="310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</row>
    <row r="136" spans="1:38" s="268" customFormat="1" ht="41.25" customHeight="1">
      <c r="A136" s="295">
        <v>7</v>
      </c>
      <c r="B136" s="296" t="s">
        <v>19</v>
      </c>
      <c r="C136" s="296" t="s">
        <v>19</v>
      </c>
      <c r="D136" s="297">
        <v>2</v>
      </c>
      <c r="E136" s="296" t="s">
        <v>40</v>
      </c>
      <c r="F136" s="296" t="s">
        <v>34</v>
      </c>
      <c r="G136" s="297"/>
      <c r="H136" s="297"/>
      <c r="I136" s="297"/>
      <c r="J136" s="297"/>
      <c r="K136" s="297"/>
      <c r="L136" s="297"/>
      <c r="M136" s="298"/>
      <c r="N136" s="321" t="s">
        <v>99</v>
      </c>
      <c r="O136" s="300">
        <f>O137</f>
        <v>87952500</v>
      </c>
      <c r="P136" s="301">
        <f t="shared" ref="P136:Q142" si="75">P137</f>
        <v>0</v>
      </c>
      <c r="Q136" s="301">
        <f t="shared" si="75"/>
        <v>0</v>
      </c>
      <c r="R136" s="301">
        <f>P136+Q136</f>
        <v>0</v>
      </c>
      <c r="S136" s="301">
        <f t="shared" ref="S136:T142" si="76">S137</f>
        <v>0</v>
      </c>
      <c r="T136" s="301">
        <f t="shared" si="76"/>
        <v>0</v>
      </c>
      <c r="U136" s="301">
        <f>S136+T136</f>
        <v>0</v>
      </c>
      <c r="V136" s="300">
        <f t="shared" ref="V136:W136" si="77">V137</f>
        <v>39545500</v>
      </c>
      <c r="W136" s="300">
        <f t="shared" si="77"/>
        <v>18789000</v>
      </c>
      <c r="X136" s="301">
        <f>V136+W136</f>
        <v>58334500</v>
      </c>
      <c r="Y136" s="301">
        <f>R136+U136+X136</f>
        <v>58334500</v>
      </c>
      <c r="Z136" s="300">
        <f>O136-Y136</f>
        <v>29618000</v>
      </c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</row>
    <row r="137" spans="1:38" s="268" customFormat="1" ht="33" customHeight="1">
      <c r="A137" s="288">
        <v>7</v>
      </c>
      <c r="B137" s="302" t="s">
        <v>19</v>
      </c>
      <c r="C137" s="302" t="s">
        <v>19</v>
      </c>
      <c r="D137" s="289">
        <v>2</v>
      </c>
      <c r="E137" s="302" t="s">
        <v>40</v>
      </c>
      <c r="F137" s="302" t="s">
        <v>34</v>
      </c>
      <c r="G137" s="289">
        <v>5</v>
      </c>
      <c r="H137" s="289">
        <v>1</v>
      </c>
      <c r="I137" s="302" t="s">
        <v>22</v>
      </c>
      <c r="J137" s="329"/>
      <c r="K137" s="315"/>
      <c r="L137" s="315"/>
      <c r="M137" s="326"/>
      <c r="N137" s="323" t="s">
        <v>49</v>
      </c>
      <c r="O137" s="317">
        <f>O138+O142</f>
        <v>87952500</v>
      </c>
      <c r="P137" s="304">
        <f>P142</f>
        <v>0</v>
      </c>
      <c r="Q137" s="304">
        <f>Q142</f>
        <v>0</v>
      </c>
      <c r="R137" s="304">
        <f>P137+Q137</f>
        <v>0</v>
      </c>
      <c r="S137" s="304">
        <f>S142</f>
        <v>0</v>
      </c>
      <c r="T137" s="304">
        <f>T142</f>
        <v>0</v>
      </c>
      <c r="U137" s="304">
        <f>S137+T137</f>
        <v>0</v>
      </c>
      <c r="V137" s="317">
        <f t="shared" ref="V137:W137" si="78">V138+V142</f>
        <v>39545500</v>
      </c>
      <c r="W137" s="317">
        <f t="shared" si="78"/>
        <v>18789000</v>
      </c>
      <c r="X137" s="304">
        <f>V137+W137</f>
        <v>58334500</v>
      </c>
      <c r="Y137" s="304">
        <f>R137+U137+X137</f>
        <v>58334500</v>
      </c>
      <c r="Z137" s="317">
        <f>O137-Y137</f>
        <v>29618000</v>
      </c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</row>
    <row r="138" spans="1:38" s="268" customFormat="1" ht="33" customHeight="1">
      <c r="A138" s="288">
        <v>7</v>
      </c>
      <c r="B138" s="302" t="s">
        <v>19</v>
      </c>
      <c r="C138" s="302" t="s">
        <v>19</v>
      </c>
      <c r="D138" s="289">
        <v>2</v>
      </c>
      <c r="E138" s="302" t="s">
        <v>40</v>
      </c>
      <c r="F138" s="302" t="s">
        <v>34</v>
      </c>
      <c r="G138" s="289">
        <v>5</v>
      </c>
      <c r="H138" s="289">
        <v>1</v>
      </c>
      <c r="I138" s="302" t="s">
        <v>22</v>
      </c>
      <c r="J138" s="328" t="s">
        <v>19</v>
      </c>
      <c r="K138" s="315"/>
      <c r="L138" s="315"/>
      <c r="M138" s="326"/>
      <c r="N138" s="323" t="s">
        <v>50</v>
      </c>
      <c r="O138" s="317">
        <f>O139</f>
        <v>792500</v>
      </c>
      <c r="P138" s="304"/>
      <c r="Q138" s="304"/>
      <c r="R138" s="304"/>
      <c r="S138" s="304"/>
      <c r="T138" s="304"/>
      <c r="U138" s="304"/>
      <c r="V138" s="317">
        <f t="shared" ref="V138:W138" si="79">V139</f>
        <v>400000</v>
      </c>
      <c r="W138" s="317">
        <f t="shared" si="79"/>
        <v>390000</v>
      </c>
      <c r="X138" s="304">
        <f t="shared" ref="X138:X141" si="80">V138+W138</f>
        <v>790000</v>
      </c>
      <c r="Y138" s="304">
        <f t="shared" ref="Y138:Y141" si="81">R138+U138+X138</f>
        <v>790000</v>
      </c>
      <c r="Z138" s="310">
        <f t="shared" ref="Z138:Z141" si="82">O138-Y138</f>
        <v>2500</v>
      </c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</row>
    <row r="139" spans="1:38" s="268" customFormat="1" ht="33" customHeight="1">
      <c r="A139" s="288">
        <v>7</v>
      </c>
      <c r="B139" s="302" t="s">
        <v>19</v>
      </c>
      <c r="C139" s="302" t="s">
        <v>19</v>
      </c>
      <c r="D139" s="289">
        <v>2</v>
      </c>
      <c r="E139" s="302" t="s">
        <v>40</v>
      </c>
      <c r="F139" s="302" t="s">
        <v>34</v>
      </c>
      <c r="G139" s="289">
        <v>5</v>
      </c>
      <c r="H139" s="289">
        <v>1</v>
      </c>
      <c r="I139" s="302" t="s">
        <v>22</v>
      </c>
      <c r="J139" s="328" t="s">
        <v>19</v>
      </c>
      <c r="K139" s="328" t="s">
        <v>19</v>
      </c>
      <c r="L139" s="315"/>
      <c r="M139" s="326"/>
      <c r="N139" s="323" t="s">
        <v>131</v>
      </c>
      <c r="O139" s="317">
        <f>O140+O141</f>
        <v>792500</v>
      </c>
      <c r="P139" s="304"/>
      <c r="Q139" s="304"/>
      <c r="R139" s="304"/>
      <c r="S139" s="304"/>
      <c r="T139" s="304"/>
      <c r="U139" s="304"/>
      <c r="V139" s="317">
        <f t="shared" ref="V139:W139" si="83">V140+V141</f>
        <v>400000</v>
      </c>
      <c r="W139" s="317">
        <f t="shared" si="83"/>
        <v>390000</v>
      </c>
      <c r="X139" s="304">
        <f t="shared" si="80"/>
        <v>790000</v>
      </c>
      <c r="Y139" s="304">
        <f t="shared" si="81"/>
        <v>790000</v>
      </c>
      <c r="Z139" s="317">
        <f t="shared" si="82"/>
        <v>2500</v>
      </c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</row>
    <row r="140" spans="1:38" s="268" customFormat="1" ht="33" customHeight="1">
      <c r="A140" s="305">
        <v>7</v>
      </c>
      <c r="B140" s="306" t="s">
        <v>19</v>
      </c>
      <c r="C140" s="306" t="s">
        <v>19</v>
      </c>
      <c r="D140" s="307">
        <v>2</v>
      </c>
      <c r="E140" s="306" t="s">
        <v>40</v>
      </c>
      <c r="F140" s="306" t="s">
        <v>34</v>
      </c>
      <c r="G140" s="307">
        <v>5</v>
      </c>
      <c r="H140" s="307">
        <v>1</v>
      </c>
      <c r="I140" s="306" t="s">
        <v>22</v>
      </c>
      <c r="J140" s="314" t="s">
        <v>19</v>
      </c>
      <c r="K140" s="314" t="s">
        <v>19</v>
      </c>
      <c r="L140" s="314" t="s">
        <v>27</v>
      </c>
      <c r="M140" s="326">
        <v>4</v>
      </c>
      <c r="N140" s="309" t="s">
        <v>255</v>
      </c>
      <c r="O140" s="310">
        <v>392500</v>
      </c>
      <c r="P140" s="304"/>
      <c r="Q140" s="304"/>
      <c r="R140" s="304"/>
      <c r="S140" s="304"/>
      <c r="T140" s="304"/>
      <c r="U140" s="304"/>
      <c r="V140" s="304"/>
      <c r="W140" s="311">
        <v>390000</v>
      </c>
      <c r="X140" s="311">
        <f t="shared" si="80"/>
        <v>390000</v>
      </c>
      <c r="Y140" s="311">
        <f t="shared" si="81"/>
        <v>390000</v>
      </c>
      <c r="Z140" s="310">
        <f t="shared" si="82"/>
        <v>2500</v>
      </c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</row>
    <row r="141" spans="1:38" s="268" customFormat="1" ht="33" customHeight="1">
      <c r="A141" s="305">
        <v>7</v>
      </c>
      <c r="B141" s="306" t="s">
        <v>19</v>
      </c>
      <c r="C141" s="306" t="s">
        <v>19</v>
      </c>
      <c r="D141" s="307">
        <v>2</v>
      </c>
      <c r="E141" s="306" t="s">
        <v>40</v>
      </c>
      <c r="F141" s="306" t="s">
        <v>34</v>
      </c>
      <c r="G141" s="307">
        <v>5</v>
      </c>
      <c r="H141" s="307">
        <v>1</v>
      </c>
      <c r="I141" s="306" t="s">
        <v>22</v>
      </c>
      <c r="J141" s="314" t="s">
        <v>19</v>
      </c>
      <c r="K141" s="314" t="s">
        <v>19</v>
      </c>
      <c r="L141" s="314" t="s">
        <v>171</v>
      </c>
      <c r="M141" s="326">
        <v>0</v>
      </c>
      <c r="N141" s="309" t="s">
        <v>172</v>
      </c>
      <c r="O141" s="310">
        <v>400000</v>
      </c>
      <c r="P141" s="304"/>
      <c r="Q141" s="304"/>
      <c r="R141" s="304"/>
      <c r="S141" s="304"/>
      <c r="T141" s="304"/>
      <c r="U141" s="304"/>
      <c r="V141" s="311">
        <f>'[1]SPJ FUNGSIONAL '!$X$141</f>
        <v>400000</v>
      </c>
      <c r="W141" s="311"/>
      <c r="X141" s="311">
        <f t="shared" si="80"/>
        <v>400000</v>
      </c>
      <c r="Y141" s="311">
        <f t="shared" si="81"/>
        <v>400000</v>
      </c>
      <c r="Z141" s="310">
        <f t="shared" si="82"/>
        <v>0</v>
      </c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</row>
    <row r="142" spans="1:38" s="268" customFormat="1" ht="33" customHeight="1">
      <c r="A142" s="288">
        <v>7</v>
      </c>
      <c r="B142" s="302" t="s">
        <v>19</v>
      </c>
      <c r="C142" s="302" t="s">
        <v>19</v>
      </c>
      <c r="D142" s="289">
        <v>2</v>
      </c>
      <c r="E142" s="302" t="s">
        <v>40</v>
      </c>
      <c r="F142" s="302" t="s">
        <v>34</v>
      </c>
      <c r="G142" s="289">
        <v>5</v>
      </c>
      <c r="H142" s="289">
        <v>1</v>
      </c>
      <c r="I142" s="302" t="s">
        <v>22</v>
      </c>
      <c r="J142" s="328" t="s">
        <v>30</v>
      </c>
      <c r="K142" s="315"/>
      <c r="L142" s="315"/>
      <c r="M142" s="326"/>
      <c r="N142" s="323" t="s">
        <v>96</v>
      </c>
      <c r="O142" s="317">
        <f>O143</f>
        <v>87160000</v>
      </c>
      <c r="P142" s="304">
        <f t="shared" si="75"/>
        <v>0</v>
      </c>
      <c r="Q142" s="304">
        <f t="shared" si="75"/>
        <v>0</v>
      </c>
      <c r="R142" s="304">
        <f>P142+Q142</f>
        <v>0</v>
      </c>
      <c r="S142" s="304">
        <f t="shared" si="76"/>
        <v>0</v>
      </c>
      <c r="T142" s="304">
        <f t="shared" si="76"/>
        <v>0</v>
      </c>
      <c r="U142" s="304">
        <f>S142+T142</f>
        <v>0</v>
      </c>
      <c r="V142" s="317">
        <f>V143</f>
        <v>39145500</v>
      </c>
      <c r="W142" s="304">
        <f t="shared" ref="W142" si="84">W143</f>
        <v>18399000</v>
      </c>
      <c r="X142" s="304">
        <f>V142+W142</f>
        <v>57544500</v>
      </c>
      <c r="Y142" s="304">
        <f>R142+U142+X142</f>
        <v>57544500</v>
      </c>
      <c r="Z142" s="317">
        <f>O142-Y142</f>
        <v>29615500</v>
      </c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</row>
    <row r="143" spans="1:38" s="268" customFormat="1" ht="33" customHeight="1">
      <c r="A143" s="288">
        <v>7</v>
      </c>
      <c r="B143" s="302" t="s">
        <v>19</v>
      </c>
      <c r="C143" s="302" t="s">
        <v>19</v>
      </c>
      <c r="D143" s="289">
        <v>2</v>
      </c>
      <c r="E143" s="302" t="s">
        <v>40</v>
      </c>
      <c r="F143" s="302" t="s">
        <v>34</v>
      </c>
      <c r="G143" s="289">
        <v>5</v>
      </c>
      <c r="H143" s="289">
        <v>1</v>
      </c>
      <c r="I143" s="302" t="s">
        <v>22</v>
      </c>
      <c r="J143" s="328" t="s">
        <v>30</v>
      </c>
      <c r="K143" s="328" t="s">
        <v>22</v>
      </c>
      <c r="L143" s="315"/>
      <c r="M143" s="326"/>
      <c r="N143" s="323" t="s">
        <v>97</v>
      </c>
      <c r="O143" s="317">
        <f>SUM(O144:O148)</f>
        <v>87160000</v>
      </c>
      <c r="P143" s="304">
        <f>SUM(P144:P148)</f>
        <v>0</v>
      </c>
      <c r="Q143" s="304">
        <f>SUM(Q144:Q148)</f>
        <v>0</v>
      </c>
      <c r="R143" s="304">
        <f t="shared" ref="R143:R148" si="85">P143+Q143</f>
        <v>0</v>
      </c>
      <c r="S143" s="304">
        <f>SUM(S144:S148)</f>
        <v>0</v>
      </c>
      <c r="T143" s="304">
        <f>SUM(T144:T148)</f>
        <v>0</v>
      </c>
      <c r="U143" s="304">
        <f t="shared" ref="U143:U148" si="86">S143+T143</f>
        <v>0</v>
      </c>
      <c r="V143" s="304">
        <f>SUM(V144:V148)</f>
        <v>39145500</v>
      </c>
      <c r="W143" s="304">
        <f>SUM(W144:W148)</f>
        <v>18399000</v>
      </c>
      <c r="X143" s="304">
        <f t="shared" ref="X143:X148" si="87">V143+W143</f>
        <v>57544500</v>
      </c>
      <c r="Y143" s="304">
        <f t="shared" ref="Y143:Y148" si="88">R143+U143+X143</f>
        <v>57544500</v>
      </c>
      <c r="Z143" s="317">
        <f t="shared" ref="Z143:Z148" si="89">O143-Y143</f>
        <v>29615500</v>
      </c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</row>
    <row r="144" spans="1:38" s="268" customFormat="1" ht="59.25" customHeight="1">
      <c r="A144" s="305">
        <v>7</v>
      </c>
      <c r="B144" s="306" t="s">
        <v>19</v>
      </c>
      <c r="C144" s="306" t="s">
        <v>19</v>
      </c>
      <c r="D144" s="307">
        <v>2</v>
      </c>
      <c r="E144" s="306" t="s">
        <v>40</v>
      </c>
      <c r="F144" s="306" t="s">
        <v>34</v>
      </c>
      <c r="G144" s="307">
        <v>5</v>
      </c>
      <c r="H144" s="307">
        <v>1</v>
      </c>
      <c r="I144" s="306" t="s">
        <v>22</v>
      </c>
      <c r="J144" s="314" t="s">
        <v>30</v>
      </c>
      <c r="K144" s="314" t="s">
        <v>22</v>
      </c>
      <c r="L144" s="314" t="s">
        <v>100</v>
      </c>
      <c r="M144" s="326">
        <v>7</v>
      </c>
      <c r="N144" s="318" t="s">
        <v>175</v>
      </c>
      <c r="O144" s="310">
        <v>10000000</v>
      </c>
      <c r="P144" s="311"/>
      <c r="Q144" s="311"/>
      <c r="R144" s="311"/>
      <c r="S144" s="311"/>
      <c r="T144" s="311"/>
      <c r="U144" s="311"/>
      <c r="V144" s="311">
        <f>'[1]SPJ FUNGSIONAL '!$X$144</f>
        <v>5720500</v>
      </c>
      <c r="W144" s="311">
        <v>4275000</v>
      </c>
      <c r="X144" s="311">
        <f t="shared" ref="X144:X146" si="90">V144+W144</f>
        <v>9995500</v>
      </c>
      <c r="Y144" s="311">
        <f t="shared" ref="Y144:Y146" si="91">R144+U144+X144</f>
        <v>9995500</v>
      </c>
      <c r="Z144" s="310">
        <f t="shared" si="89"/>
        <v>4500</v>
      </c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</row>
    <row r="145" spans="1:38" s="268" customFormat="1" ht="59.25" customHeight="1">
      <c r="A145" s="305">
        <v>7</v>
      </c>
      <c r="B145" s="306" t="s">
        <v>19</v>
      </c>
      <c r="C145" s="306" t="s">
        <v>19</v>
      </c>
      <c r="D145" s="307">
        <v>2</v>
      </c>
      <c r="E145" s="306" t="s">
        <v>40</v>
      </c>
      <c r="F145" s="306" t="s">
        <v>34</v>
      </c>
      <c r="G145" s="307">
        <v>5</v>
      </c>
      <c r="H145" s="307">
        <v>1</v>
      </c>
      <c r="I145" s="306" t="s">
        <v>22</v>
      </c>
      <c r="J145" s="314" t="s">
        <v>30</v>
      </c>
      <c r="K145" s="314" t="s">
        <v>22</v>
      </c>
      <c r="L145" s="314" t="s">
        <v>100</v>
      </c>
      <c r="M145" s="326">
        <v>8</v>
      </c>
      <c r="N145" s="318" t="s">
        <v>256</v>
      </c>
      <c r="O145" s="310">
        <v>2000000</v>
      </c>
      <c r="P145" s="311"/>
      <c r="Q145" s="311"/>
      <c r="R145" s="311"/>
      <c r="S145" s="311"/>
      <c r="T145" s="311"/>
      <c r="U145" s="311"/>
      <c r="V145" s="311">
        <f>'[1]SPJ FUNGSIONAL '!$X$145</f>
        <v>1000000</v>
      </c>
      <c r="W145" s="311"/>
      <c r="X145" s="311">
        <f t="shared" si="90"/>
        <v>1000000</v>
      </c>
      <c r="Y145" s="311">
        <f t="shared" si="91"/>
        <v>1000000</v>
      </c>
      <c r="Z145" s="310">
        <f t="shared" si="89"/>
        <v>1000000</v>
      </c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</row>
    <row r="146" spans="1:38" s="268" customFormat="1" ht="61.5" customHeight="1">
      <c r="A146" s="305">
        <v>7</v>
      </c>
      <c r="B146" s="306" t="s">
        <v>19</v>
      </c>
      <c r="C146" s="306" t="s">
        <v>19</v>
      </c>
      <c r="D146" s="307">
        <v>2</v>
      </c>
      <c r="E146" s="306" t="s">
        <v>40</v>
      </c>
      <c r="F146" s="306" t="s">
        <v>34</v>
      </c>
      <c r="G146" s="307">
        <v>5</v>
      </c>
      <c r="H146" s="307">
        <v>1</v>
      </c>
      <c r="I146" s="306" t="s">
        <v>22</v>
      </c>
      <c r="J146" s="314" t="s">
        <v>30</v>
      </c>
      <c r="K146" s="314" t="s">
        <v>22</v>
      </c>
      <c r="L146" s="314" t="s">
        <v>101</v>
      </c>
      <c r="M146" s="326">
        <v>5</v>
      </c>
      <c r="N146" s="318" t="s">
        <v>102</v>
      </c>
      <c r="O146" s="310">
        <v>6600000</v>
      </c>
      <c r="P146" s="311"/>
      <c r="Q146" s="311"/>
      <c r="R146" s="311">
        <f t="shared" si="85"/>
        <v>0</v>
      </c>
      <c r="S146" s="311"/>
      <c r="T146" s="311"/>
      <c r="U146" s="311">
        <f t="shared" si="86"/>
        <v>0</v>
      </c>
      <c r="V146" s="311">
        <f>'[1]SPJ FUNGSIONAL '!$X$146</f>
        <v>900000</v>
      </c>
      <c r="W146" s="311">
        <v>2874000</v>
      </c>
      <c r="X146" s="311">
        <f t="shared" si="90"/>
        <v>3774000</v>
      </c>
      <c r="Y146" s="311">
        <f t="shared" si="91"/>
        <v>3774000</v>
      </c>
      <c r="Z146" s="310">
        <f t="shared" si="89"/>
        <v>2826000</v>
      </c>
      <c r="AA146" s="267"/>
      <c r="AB146" s="267"/>
      <c r="AC146" s="267"/>
      <c r="AD146" s="313"/>
      <c r="AE146" s="267"/>
      <c r="AF146" s="267"/>
      <c r="AG146" s="267"/>
      <c r="AH146" s="267"/>
      <c r="AI146" s="267"/>
      <c r="AJ146" s="267"/>
      <c r="AK146" s="267"/>
      <c r="AL146" s="267"/>
    </row>
    <row r="147" spans="1:38" s="268" customFormat="1" ht="49.95" customHeight="1">
      <c r="A147" s="305">
        <v>7</v>
      </c>
      <c r="B147" s="306" t="s">
        <v>19</v>
      </c>
      <c r="C147" s="306" t="s">
        <v>19</v>
      </c>
      <c r="D147" s="307">
        <v>2</v>
      </c>
      <c r="E147" s="306" t="s">
        <v>40</v>
      </c>
      <c r="F147" s="306" t="s">
        <v>34</v>
      </c>
      <c r="G147" s="307">
        <v>5</v>
      </c>
      <c r="H147" s="307">
        <v>1</v>
      </c>
      <c r="I147" s="306" t="s">
        <v>22</v>
      </c>
      <c r="J147" s="314" t="s">
        <v>30</v>
      </c>
      <c r="K147" s="314" t="s">
        <v>22</v>
      </c>
      <c r="L147" s="314" t="s">
        <v>103</v>
      </c>
      <c r="M147" s="326">
        <v>5</v>
      </c>
      <c r="N147" s="318" t="s">
        <v>104</v>
      </c>
      <c r="O147" s="310">
        <v>42340000</v>
      </c>
      <c r="P147" s="311"/>
      <c r="Q147" s="311"/>
      <c r="R147" s="311">
        <f t="shared" si="85"/>
        <v>0</v>
      </c>
      <c r="S147" s="311"/>
      <c r="T147" s="311"/>
      <c r="U147" s="311">
        <f t="shared" si="86"/>
        <v>0</v>
      </c>
      <c r="V147" s="311">
        <f>'[1]SPJ FUNGSIONAL '!$X$147</f>
        <v>21990000</v>
      </c>
      <c r="W147" s="526">
        <f>7680000-480000</f>
        <v>7200000</v>
      </c>
      <c r="X147" s="311">
        <f t="shared" si="87"/>
        <v>29190000</v>
      </c>
      <c r="Y147" s="311">
        <f t="shared" si="88"/>
        <v>29190000</v>
      </c>
      <c r="Z147" s="310">
        <f t="shared" si="89"/>
        <v>13150000</v>
      </c>
      <c r="AA147" s="267"/>
      <c r="AB147" s="267"/>
      <c r="AC147" s="267"/>
      <c r="AD147" s="313"/>
      <c r="AE147" s="267"/>
      <c r="AF147" s="267"/>
      <c r="AG147" s="267"/>
      <c r="AH147" s="267"/>
      <c r="AI147" s="267"/>
      <c r="AJ147" s="267"/>
      <c r="AK147" s="267"/>
      <c r="AL147" s="267"/>
    </row>
    <row r="148" spans="1:38" s="268" customFormat="1" ht="49.95" customHeight="1">
      <c r="A148" s="305">
        <v>7</v>
      </c>
      <c r="B148" s="306" t="s">
        <v>19</v>
      </c>
      <c r="C148" s="306" t="s">
        <v>19</v>
      </c>
      <c r="D148" s="307">
        <v>2</v>
      </c>
      <c r="E148" s="306" t="s">
        <v>40</v>
      </c>
      <c r="F148" s="306" t="s">
        <v>34</v>
      </c>
      <c r="G148" s="307">
        <v>5</v>
      </c>
      <c r="H148" s="307">
        <v>1</v>
      </c>
      <c r="I148" s="306" t="s">
        <v>22</v>
      </c>
      <c r="J148" s="314" t="s">
        <v>30</v>
      </c>
      <c r="K148" s="314" t="s">
        <v>22</v>
      </c>
      <c r="L148" s="314" t="s">
        <v>103</v>
      </c>
      <c r="M148" s="342" t="s">
        <v>105</v>
      </c>
      <c r="N148" s="318" t="s">
        <v>106</v>
      </c>
      <c r="O148" s="310">
        <v>26220000</v>
      </c>
      <c r="P148" s="311"/>
      <c r="Q148" s="311"/>
      <c r="R148" s="311">
        <f t="shared" si="85"/>
        <v>0</v>
      </c>
      <c r="S148" s="311"/>
      <c r="T148" s="311"/>
      <c r="U148" s="311">
        <f t="shared" si="86"/>
        <v>0</v>
      </c>
      <c r="V148" s="311">
        <f>'[1]SPJ FUNGSIONAL '!$X$148</f>
        <v>9535000</v>
      </c>
      <c r="W148" s="311">
        <v>4050000</v>
      </c>
      <c r="X148" s="311">
        <f t="shared" si="87"/>
        <v>13585000</v>
      </c>
      <c r="Y148" s="311">
        <f t="shared" si="88"/>
        <v>13585000</v>
      </c>
      <c r="Z148" s="310">
        <f t="shared" si="89"/>
        <v>12635000</v>
      </c>
      <c r="AA148" s="267"/>
      <c r="AB148" s="267"/>
      <c r="AC148" s="267"/>
      <c r="AD148" s="313"/>
      <c r="AE148" s="267"/>
      <c r="AF148" s="267"/>
      <c r="AG148" s="267"/>
      <c r="AH148" s="267"/>
      <c r="AI148" s="267"/>
      <c r="AJ148" s="267"/>
      <c r="AK148" s="267"/>
      <c r="AL148" s="267"/>
    </row>
    <row r="149" spans="1:38" s="268" customFormat="1" ht="25" customHeight="1">
      <c r="A149" s="325"/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26"/>
      <c r="N149" s="309"/>
      <c r="O149" s="310"/>
      <c r="P149" s="311"/>
      <c r="Q149" s="311"/>
      <c r="R149" s="311"/>
      <c r="S149" s="311"/>
      <c r="T149" s="311"/>
      <c r="U149" s="311"/>
      <c r="V149" s="311"/>
      <c r="W149" s="311"/>
      <c r="X149" s="311"/>
      <c r="Y149" s="311"/>
      <c r="Z149" s="310"/>
      <c r="AA149" s="267"/>
      <c r="AB149" s="267"/>
      <c r="AC149" s="267"/>
      <c r="AD149" s="313"/>
      <c r="AE149" s="267"/>
      <c r="AF149" s="267"/>
      <c r="AG149" s="267"/>
      <c r="AH149" s="267"/>
      <c r="AI149" s="267"/>
      <c r="AJ149" s="267"/>
      <c r="AK149" s="267"/>
      <c r="AL149" s="267"/>
    </row>
    <row r="150" spans="1:38" s="268" customFormat="1" ht="42" customHeight="1">
      <c r="A150" s="295">
        <v>7</v>
      </c>
      <c r="B150" s="296" t="s">
        <v>19</v>
      </c>
      <c r="C150" s="296" t="s">
        <v>19</v>
      </c>
      <c r="D150" s="297">
        <v>2</v>
      </c>
      <c r="E150" s="296" t="s">
        <v>40</v>
      </c>
      <c r="F150" s="296" t="s">
        <v>40</v>
      </c>
      <c r="G150" s="297"/>
      <c r="H150" s="297"/>
      <c r="I150" s="297"/>
      <c r="J150" s="297"/>
      <c r="K150" s="297"/>
      <c r="L150" s="297"/>
      <c r="M150" s="298"/>
      <c r="N150" s="321" t="s">
        <v>107</v>
      </c>
      <c r="O150" s="300">
        <f>O151</f>
        <v>89770000</v>
      </c>
      <c r="P150" s="301">
        <f t="shared" ref="P150:Q153" si="92">P151</f>
        <v>0</v>
      </c>
      <c r="Q150" s="301">
        <f t="shared" si="92"/>
        <v>0</v>
      </c>
      <c r="R150" s="301">
        <f>P150+Q150</f>
        <v>0</v>
      </c>
      <c r="S150" s="301">
        <f t="shared" ref="S150:T153" si="93">S151</f>
        <v>0</v>
      </c>
      <c r="T150" s="301">
        <f t="shared" si="93"/>
        <v>0</v>
      </c>
      <c r="U150" s="301">
        <f>S150+T150</f>
        <v>0</v>
      </c>
      <c r="V150" s="301">
        <f t="shared" ref="V150:W153" si="94">V151</f>
        <v>62933203</v>
      </c>
      <c r="W150" s="301">
        <f t="shared" si="94"/>
        <v>6199500</v>
      </c>
      <c r="X150" s="301">
        <f>V150+W150</f>
        <v>69132703</v>
      </c>
      <c r="Y150" s="301">
        <f>R150+U150+X150</f>
        <v>69132703</v>
      </c>
      <c r="Z150" s="300">
        <f>O150-Y150</f>
        <v>20637297</v>
      </c>
      <c r="AA150" s="267"/>
      <c r="AB150" s="267"/>
      <c r="AC150" s="267"/>
      <c r="AD150" s="313"/>
      <c r="AE150" s="267"/>
      <c r="AF150" s="267"/>
      <c r="AG150" s="267"/>
      <c r="AH150" s="267"/>
      <c r="AI150" s="267"/>
      <c r="AJ150" s="267"/>
      <c r="AK150" s="267"/>
      <c r="AL150" s="267"/>
    </row>
    <row r="151" spans="1:38" s="268" customFormat="1" ht="31.95" customHeight="1">
      <c r="A151" s="288">
        <v>7</v>
      </c>
      <c r="B151" s="302" t="s">
        <v>19</v>
      </c>
      <c r="C151" s="302" t="s">
        <v>19</v>
      </c>
      <c r="D151" s="289">
        <v>2</v>
      </c>
      <c r="E151" s="302" t="s">
        <v>40</v>
      </c>
      <c r="F151" s="302" t="s">
        <v>40</v>
      </c>
      <c r="G151" s="289">
        <v>5</v>
      </c>
      <c r="H151" s="289">
        <v>1</v>
      </c>
      <c r="I151" s="302" t="s">
        <v>22</v>
      </c>
      <c r="J151" s="329"/>
      <c r="K151" s="315"/>
      <c r="L151" s="315"/>
      <c r="M151" s="326"/>
      <c r="N151" s="323" t="s">
        <v>49</v>
      </c>
      <c r="O151" s="317">
        <f>O152</f>
        <v>89770000</v>
      </c>
      <c r="P151" s="304">
        <f t="shared" si="92"/>
        <v>0</v>
      </c>
      <c r="Q151" s="304">
        <f t="shared" si="92"/>
        <v>0</v>
      </c>
      <c r="R151" s="304">
        <f>P151+Q151</f>
        <v>0</v>
      </c>
      <c r="S151" s="304">
        <f t="shared" si="93"/>
        <v>0</v>
      </c>
      <c r="T151" s="304">
        <f t="shared" si="93"/>
        <v>0</v>
      </c>
      <c r="U151" s="304">
        <f>S151+T151</f>
        <v>0</v>
      </c>
      <c r="V151" s="304">
        <f t="shared" si="94"/>
        <v>62933203</v>
      </c>
      <c r="W151" s="304">
        <f t="shared" si="94"/>
        <v>6199500</v>
      </c>
      <c r="X151" s="304">
        <f>V151+W151</f>
        <v>69132703</v>
      </c>
      <c r="Y151" s="304">
        <f>R151+U151+X151</f>
        <v>69132703</v>
      </c>
      <c r="Z151" s="317">
        <f>O151-Y151</f>
        <v>20637297</v>
      </c>
      <c r="AA151" s="267"/>
      <c r="AB151" s="267"/>
      <c r="AC151" s="267"/>
      <c r="AD151" s="267"/>
      <c r="AE151" s="267"/>
      <c r="AF151" s="267"/>
      <c r="AG151" s="267"/>
      <c r="AH151" s="267"/>
      <c r="AI151" s="267"/>
      <c r="AJ151" s="267"/>
      <c r="AK151" s="267"/>
      <c r="AL151" s="267"/>
    </row>
    <row r="152" spans="1:38" s="268" customFormat="1" ht="31.95" customHeight="1">
      <c r="A152" s="288">
        <v>7</v>
      </c>
      <c r="B152" s="302" t="s">
        <v>19</v>
      </c>
      <c r="C152" s="302" t="s">
        <v>19</v>
      </c>
      <c r="D152" s="289">
        <v>2</v>
      </c>
      <c r="E152" s="302" t="s">
        <v>40</v>
      </c>
      <c r="F152" s="302" t="s">
        <v>40</v>
      </c>
      <c r="G152" s="289">
        <v>5</v>
      </c>
      <c r="H152" s="289">
        <v>1</v>
      </c>
      <c r="I152" s="302" t="s">
        <v>22</v>
      </c>
      <c r="J152" s="328" t="s">
        <v>30</v>
      </c>
      <c r="K152" s="315"/>
      <c r="L152" s="315"/>
      <c r="M152" s="326"/>
      <c r="N152" s="323" t="s">
        <v>96</v>
      </c>
      <c r="O152" s="317">
        <f>O153</f>
        <v>89770000</v>
      </c>
      <c r="P152" s="304">
        <f t="shared" si="92"/>
        <v>0</v>
      </c>
      <c r="Q152" s="304">
        <f t="shared" si="92"/>
        <v>0</v>
      </c>
      <c r="R152" s="304">
        <f>P152+Q152</f>
        <v>0</v>
      </c>
      <c r="S152" s="304">
        <f t="shared" si="93"/>
        <v>0</v>
      </c>
      <c r="T152" s="304">
        <f t="shared" si="93"/>
        <v>0</v>
      </c>
      <c r="U152" s="304">
        <f>S152+T152</f>
        <v>0</v>
      </c>
      <c r="V152" s="304">
        <f t="shared" si="94"/>
        <v>62933203</v>
      </c>
      <c r="W152" s="304">
        <f t="shared" si="94"/>
        <v>6199500</v>
      </c>
      <c r="X152" s="304">
        <f>V152+W152</f>
        <v>69132703</v>
      </c>
      <c r="Y152" s="304">
        <f>R152+U152+X152</f>
        <v>69132703</v>
      </c>
      <c r="Z152" s="317">
        <f>O152-Y152</f>
        <v>20637297</v>
      </c>
      <c r="AA152" s="267"/>
      <c r="AB152" s="267"/>
      <c r="AC152" s="267"/>
      <c r="AD152" s="267"/>
      <c r="AE152" s="267"/>
      <c r="AF152" s="267"/>
      <c r="AG152" s="267"/>
      <c r="AH152" s="267"/>
      <c r="AI152" s="267"/>
      <c r="AJ152" s="267"/>
      <c r="AK152" s="267"/>
      <c r="AL152" s="267"/>
    </row>
    <row r="153" spans="1:38" s="268" customFormat="1" ht="40.5" customHeight="1">
      <c r="A153" s="288">
        <v>7</v>
      </c>
      <c r="B153" s="302" t="s">
        <v>19</v>
      </c>
      <c r="C153" s="302" t="s">
        <v>19</v>
      </c>
      <c r="D153" s="289">
        <v>2</v>
      </c>
      <c r="E153" s="302" t="s">
        <v>40</v>
      </c>
      <c r="F153" s="302" t="s">
        <v>40</v>
      </c>
      <c r="G153" s="289">
        <v>5</v>
      </c>
      <c r="H153" s="289">
        <v>1</v>
      </c>
      <c r="I153" s="302" t="s">
        <v>22</v>
      </c>
      <c r="J153" s="328" t="s">
        <v>30</v>
      </c>
      <c r="K153" s="328" t="s">
        <v>30</v>
      </c>
      <c r="L153" s="315"/>
      <c r="M153" s="326"/>
      <c r="N153" s="316" t="s">
        <v>108</v>
      </c>
      <c r="O153" s="317">
        <f>O154</f>
        <v>89770000</v>
      </c>
      <c r="P153" s="304">
        <f t="shared" si="92"/>
        <v>0</v>
      </c>
      <c r="Q153" s="304">
        <f t="shared" si="92"/>
        <v>0</v>
      </c>
      <c r="R153" s="304">
        <f>P153+Q153</f>
        <v>0</v>
      </c>
      <c r="S153" s="304">
        <f t="shared" si="93"/>
        <v>0</v>
      </c>
      <c r="T153" s="304">
        <f t="shared" si="93"/>
        <v>0</v>
      </c>
      <c r="U153" s="304">
        <f>S153+T153</f>
        <v>0</v>
      </c>
      <c r="V153" s="304">
        <f t="shared" si="94"/>
        <v>62933203</v>
      </c>
      <c r="W153" s="304">
        <f t="shared" si="94"/>
        <v>6199500</v>
      </c>
      <c r="X153" s="304">
        <f>V153+W153</f>
        <v>69132703</v>
      </c>
      <c r="Y153" s="304">
        <f>R153+U153+X153</f>
        <v>69132703</v>
      </c>
      <c r="Z153" s="317">
        <f>O153-Y153</f>
        <v>20637297</v>
      </c>
      <c r="AA153" s="267"/>
      <c r="AB153" s="267"/>
      <c r="AC153" s="267"/>
      <c r="AD153" s="267"/>
      <c r="AE153" s="267"/>
      <c r="AF153" s="267"/>
      <c r="AG153" s="267"/>
      <c r="AH153" s="267"/>
      <c r="AI153" s="267"/>
      <c r="AJ153" s="267"/>
      <c r="AK153" s="267"/>
      <c r="AL153" s="267"/>
    </row>
    <row r="154" spans="1:38" s="268" customFormat="1" ht="47.5" customHeight="1">
      <c r="A154" s="305">
        <v>7</v>
      </c>
      <c r="B154" s="306" t="s">
        <v>19</v>
      </c>
      <c r="C154" s="306" t="s">
        <v>19</v>
      </c>
      <c r="D154" s="307">
        <v>2</v>
      </c>
      <c r="E154" s="306" t="s">
        <v>40</v>
      </c>
      <c r="F154" s="306" t="s">
        <v>40</v>
      </c>
      <c r="G154" s="307">
        <v>5</v>
      </c>
      <c r="H154" s="307">
        <v>1</v>
      </c>
      <c r="I154" s="306" t="s">
        <v>22</v>
      </c>
      <c r="J154" s="314" t="s">
        <v>30</v>
      </c>
      <c r="K154" s="314" t="s">
        <v>30</v>
      </c>
      <c r="L154" s="314" t="s">
        <v>27</v>
      </c>
      <c r="M154" s="342" t="s">
        <v>10</v>
      </c>
      <c r="N154" s="318" t="s">
        <v>109</v>
      </c>
      <c r="O154" s="310">
        <v>89770000</v>
      </c>
      <c r="P154" s="311"/>
      <c r="Q154" s="311"/>
      <c r="R154" s="311">
        <f>P154+Q154</f>
        <v>0</v>
      </c>
      <c r="S154" s="311"/>
      <c r="T154" s="311"/>
      <c r="U154" s="311">
        <f>S154+T154</f>
        <v>0</v>
      </c>
      <c r="V154" s="311">
        <f>'[1]SPJ FUNGSIONAL '!$X$154</f>
        <v>62933203</v>
      </c>
      <c r="W154" s="311">
        <v>6199500</v>
      </c>
      <c r="X154" s="311">
        <f>V154+W154</f>
        <v>69132703</v>
      </c>
      <c r="Y154" s="311">
        <f>R154+U154+X154</f>
        <v>69132703</v>
      </c>
      <c r="Z154" s="310">
        <f>O154-Y154</f>
        <v>20637297</v>
      </c>
      <c r="AA154" s="267"/>
      <c r="AB154" s="267"/>
      <c r="AC154" s="267"/>
      <c r="AD154" s="267"/>
      <c r="AE154" s="267"/>
      <c r="AF154" s="267"/>
      <c r="AG154" s="267"/>
      <c r="AH154" s="267"/>
      <c r="AI154" s="267"/>
      <c r="AJ154" s="267"/>
      <c r="AK154" s="267"/>
      <c r="AL154" s="267"/>
    </row>
    <row r="155" spans="1:38" s="268" customFormat="1" ht="25" customHeight="1">
      <c r="A155" s="345"/>
      <c r="B155" s="346"/>
      <c r="C155" s="346"/>
      <c r="D155" s="346"/>
      <c r="E155" s="346"/>
      <c r="F155" s="346"/>
      <c r="G155" s="346"/>
      <c r="H155" s="346"/>
      <c r="I155" s="346"/>
      <c r="J155" s="346"/>
      <c r="K155" s="346"/>
      <c r="L155" s="346"/>
      <c r="M155" s="347"/>
      <c r="N155" s="348"/>
      <c r="O155" s="349"/>
      <c r="P155" s="350"/>
      <c r="Q155" s="350"/>
      <c r="R155" s="350"/>
      <c r="S155" s="350"/>
      <c r="T155" s="350"/>
      <c r="U155" s="350"/>
      <c r="V155" s="350"/>
      <c r="W155" s="350"/>
      <c r="X155" s="350"/>
      <c r="Y155" s="350"/>
      <c r="Z155" s="349"/>
      <c r="AA155" s="267"/>
      <c r="AB155" s="267"/>
      <c r="AC155" s="267"/>
      <c r="AD155" s="267"/>
      <c r="AE155" s="267"/>
      <c r="AF155" s="267"/>
      <c r="AG155" s="267"/>
      <c r="AH155" s="267"/>
      <c r="AI155" s="267"/>
      <c r="AJ155" s="267"/>
      <c r="AK155" s="267"/>
      <c r="AL155" s="267"/>
    </row>
    <row r="156" spans="1:38" s="268" customFormat="1" ht="57.75" customHeight="1">
      <c r="A156" s="351">
        <v>7</v>
      </c>
      <c r="B156" s="352" t="s">
        <v>19</v>
      </c>
      <c r="C156" s="352" t="s">
        <v>22</v>
      </c>
      <c r="D156" s="353"/>
      <c r="E156" s="353"/>
      <c r="F156" s="353"/>
      <c r="G156" s="353"/>
      <c r="H156" s="353"/>
      <c r="I156" s="353"/>
      <c r="J156" s="353"/>
      <c r="K156" s="353"/>
      <c r="L156" s="353"/>
      <c r="M156" s="354"/>
      <c r="N156" s="355" t="s">
        <v>110</v>
      </c>
      <c r="O156" s="356">
        <f>O158+O178</f>
        <v>3780676250</v>
      </c>
      <c r="P156" s="357">
        <f>P178</f>
        <v>0</v>
      </c>
      <c r="Q156" s="357">
        <f>Q178</f>
        <v>0</v>
      </c>
      <c r="R156" s="357">
        <f>P156+Q156</f>
        <v>0</v>
      </c>
      <c r="S156" s="357">
        <f>S178</f>
        <v>0</v>
      </c>
      <c r="T156" s="357">
        <f>T178</f>
        <v>0</v>
      </c>
      <c r="U156" s="357">
        <f>S156+T156</f>
        <v>0</v>
      </c>
      <c r="V156" s="356">
        <f t="shared" ref="V156:W156" si="95">V158+V178</f>
        <v>2988314106</v>
      </c>
      <c r="W156" s="356">
        <f t="shared" si="95"/>
        <v>648530889</v>
      </c>
      <c r="X156" s="357">
        <f>V156+W156</f>
        <v>3636844995</v>
      </c>
      <c r="Y156" s="359">
        <f>R156+U156+X156</f>
        <v>3636844995</v>
      </c>
      <c r="Z156" s="360">
        <f>O156-Y156</f>
        <v>143831255</v>
      </c>
      <c r="AA156" s="267"/>
      <c r="AB156" s="267"/>
      <c r="AC156" s="267"/>
      <c r="AD156" s="267"/>
      <c r="AE156" s="267"/>
      <c r="AF156" s="267"/>
      <c r="AG156" s="267"/>
      <c r="AH156" s="267"/>
      <c r="AI156" s="267"/>
      <c r="AJ156" s="267"/>
      <c r="AK156" s="267"/>
      <c r="AL156" s="267"/>
    </row>
    <row r="157" spans="1:38" s="268" customFormat="1" ht="14.15" customHeight="1">
      <c r="A157" s="345"/>
      <c r="B157" s="346"/>
      <c r="C157" s="346"/>
      <c r="D157" s="346"/>
      <c r="E157" s="346"/>
      <c r="F157" s="346"/>
      <c r="G157" s="346"/>
      <c r="H157" s="346"/>
      <c r="I157" s="346"/>
      <c r="J157" s="346"/>
      <c r="K157" s="346"/>
      <c r="L157" s="346"/>
      <c r="M157" s="347"/>
      <c r="N157" s="348"/>
      <c r="O157" s="349"/>
      <c r="P157" s="361"/>
      <c r="Q157" s="361"/>
      <c r="R157" s="361"/>
      <c r="S157" s="361"/>
      <c r="T157" s="361"/>
      <c r="U157" s="361"/>
      <c r="V157" s="361"/>
      <c r="W157" s="361"/>
      <c r="X157" s="361"/>
      <c r="Y157" s="275"/>
      <c r="Z157" s="276"/>
      <c r="AA157" s="267"/>
      <c r="AB157" s="267"/>
      <c r="AC157" s="267"/>
      <c r="AD157" s="267"/>
      <c r="AE157" s="267"/>
      <c r="AF157" s="267"/>
      <c r="AG157" s="267"/>
      <c r="AH157" s="267"/>
      <c r="AI157" s="267"/>
      <c r="AJ157" s="267"/>
      <c r="AK157" s="267"/>
      <c r="AL157" s="267"/>
    </row>
    <row r="158" spans="1:38" s="268" customFormat="1" ht="52.5" customHeight="1">
      <c r="A158" s="362">
        <v>7</v>
      </c>
      <c r="B158" s="363" t="s">
        <v>19</v>
      </c>
      <c r="C158" s="363" t="s">
        <v>22</v>
      </c>
      <c r="D158" s="281">
        <v>2</v>
      </c>
      <c r="E158" s="280" t="s">
        <v>30</v>
      </c>
      <c r="F158" s="281"/>
      <c r="G158" s="281"/>
      <c r="H158" s="364"/>
      <c r="I158" s="364"/>
      <c r="J158" s="364"/>
      <c r="K158" s="364"/>
      <c r="L158" s="364"/>
      <c r="M158" s="364"/>
      <c r="N158" s="283" t="s">
        <v>182</v>
      </c>
      <c r="O158" s="365">
        <f>O160</f>
        <v>1612820050</v>
      </c>
      <c r="P158" s="366">
        <f>P160</f>
        <v>0</v>
      </c>
      <c r="Q158" s="367">
        <f>Q160</f>
        <v>0</v>
      </c>
      <c r="R158" s="368">
        <f>P158+Q158</f>
        <v>0</v>
      </c>
      <c r="S158" s="367">
        <f>S160</f>
        <v>0</v>
      </c>
      <c r="T158" s="367">
        <f>T160</f>
        <v>0</v>
      </c>
      <c r="U158" s="368">
        <f>S158+T158</f>
        <v>0</v>
      </c>
      <c r="V158" s="367">
        <f>V160</f>
        <v>1339885706</v>
      </c>
      <c r="W158" s="367">
        <f>W160</f>
        <v>245887746</v>
      </c>
      <c r="X158" s="368">
        <f>V158+W158</f>
        <v>1585773452</v>
      </c>
      <c r="Y158" s="286">
        <f>R158+U158+X158</f>
        <v>1585773452</v>
      </c>
      <c r="Z158" s="287">
        <f>O158-Y158</f>
        <v>27046598</v>
      </c>
      <c r="AA158" s="267"/>
      <c r="AB158" s="267"/>
      <c r="AC158" s="267"/>
      <c r="AD158" s="267"/>
      <c r="AE158" s="267"/>
      <c r="AF158" s="267"/>
      <c r="AG158" s="267"/>
      <c r="AH158" s="267"/>
      <c r="AI158" s="267"/>
      <c r="AJ158" s="267"/>
      <c r="AK158" s="267"/>
      <c r="AL158" s="267"/>
    </row>
    <row r="159" spans="1:38" s="268" customFormat="1" ht="17.149999999999999" customHeight="1">
      <c r="A159" s="345"/>
      <c r="B159" s="346"/>
      <c r="C159" s="346"/>
      <c r="D159" s="346"/>
      <c r="E159" s="346"/>
      <c r="F159" s="346"/>
      <c r="G159" s="346"/>
      <c r="H159" s="346"/>
      <c r="I159" s="346"/>
      <c r="J159" s="346"/>
      <c r="K159" s="346"/>
      <c r="L159" s="346"/>
      <c r="M159" s="347"/>
      <c r="N159" s="272"/>
      <c r="O159" s="349"/>
      <c r="P159" s="369"/>
      <c r="Q159" s="370"/>
      <c r="R159" s="361"/>
      <c r="S159" s="370"/>
      <c r="T159" s="370"/>
      <c r="U159" s="361"/>
      <c r="V159" s="370"/>
      <c r="W159" s="370"/>
      <c r="X159" s="361"/>
      <c r="Y159" s="275"/>
      <c r="Z159" s="276"/>
      <c r="AA159" s="267"/>
      <c r="AB159" s="267"/>
      <c r="AC159" s="267"/>
      <c r="AD159" s="267"/>
      <c r="AE159" s="267"/>
      <c r="AF159" s="267"/>
      <c r="AG159" s="267">
        <v>113704000</v>
      </c>
      <c r="AH159" s="267"/>
      <c r="AI159" s="267"/>
      <c r="AJ159" s="267"/>
      <c r="AK159" s="267"/>
      <c r="AL159" s="267"/>
    </row>
    <row r="160" spans="1:38" s="268" customFormat="1" ht="93.75" customHeight="1">
      <c r="A160" s="371">
        <v>7</v>
      </c>
      <c r="B160" s="372" t="s">
        <v>19</v>
      </c>
      <c r="C160" s="372" t="s">
        <v>22</v>
      </c>
      <c r="D160" s="297">
        <v>2</v>
      </c>
      <c r="E160" s="373" t="s">
        <v>30</v>
      </c>
      <c r="F160" s="373" t="s">
        <v>19</v>
      </c>
      <c r="G160" s="374"/>
      <c r="H160" s="375"/>
      <c r="I160" s="375"/>
      <c r="J160" s="375"/>
      <c r="K160" s="375"/>
      <c r="L160" s="375"/>
      <c r="M160" s="376"/>
      <c r="N160" s="321" t="s">
        <v>257</v>
      </c>
      <c r="O160" s="300">
        <f t="shared" ref="O160:W160" si="96">O161</f>
        <v>1612820050</v>
      </c>
      <c r="P160" s="377">
        <f t="shared" si="96"/>
        <v>0</v>
      </c>
      <c r="Q160" s="378">
        <f t="shared" si="96"/>
        <v>0</v>
      </c>
      <c r="R160" s="301">
        <f>P160+Q160</f>
        <v>0</v>
      </c>
      <c r="S160" s="378">
        <f t="shared" si="96"/>
        <v>0</v>
      </c>
      <c r="T160" s="378">
        <f t="shared" si="96"/>
        <v>0</v>
      </c>
      <c r="U160" s="301">
        <f>S160+T160</f>
        <v>0</v>
      </c>
      <c r="V160" s="378">
        <f t="shared" si="96"/>
        <v>1339885706</v>
      </c>
      <c r="W160" s="378">
        <f t="shared" si="96"/>
        <v>245887746</v>
      </c>
      <c r="X160" s="301">
        <f>V160+W160</f>
        <v>1585773452</v>
      </c>
      <c r="Y160" s="301">
        <f>R160+U160+X160</f>
        <v>1585773452</v>
      </c>
      <c r="Z160" s="300">
        <f>O160-Y160</f>
        <v>27046598</v>
      </c>
      <c r="AA160" s="267"/>
      <c r="AB160" s="267"/>
      <c r="AC160" s="267"/>
      <c r="AD160" s="267"/>
      <c r="AE160" s="267"/>
      <c r="AF160" s="267"/>
      <c r="AG160" s="267">
        <v>14880000</v>
      </c>
      <c r="AH160" s="267"/>
      <c r="AI160" s="267"/>
      <c r="AJ160" s="267"/>
      <c r="AK160" s="267"/>
      <c r="AL160" s="267"/>
    </row>
    <row r="161" spans="1:38" s="268" customFormat="1" ht="30" customHeight="1">
      <c r="A161" s="379">
        <v>7</v>
      </c>
      <c r="B161" s="380" t="s">
        <v>19</v>
      </c>
      <c r="C161" s="380" t="s">
        <v>22</v>
      </c>
      <c r="D161" s="289">
        <v>2</v>
      </c>
      <c r="E161" s="302" t="s">
        <v>30</v>
      </c>
      <c r="F161" s="302" t="s">
        <v>19</v>
      </c>
      <c r="G161" s="289">
        <v>5</v>
      </c>
      <c r="H161" s="289">
        <v>1</v>
      </c>
      <c r="I161" s="302" t="s">
        <v>22</v>
      </c>
      <c r="J161" s="329"/>
      <c r="K161" s="315"/>
      <c r="L161" s="315"/>
      <c r="M161" s="326"/>
      <c r="N161" s="323" t="s">
        <v>49</v>
      </c>
      <c r="O161" s="381">
        <f>O162+O167+O174</f>
        <v>1612820050</v>
      </c>
      <c r="P161" s="382">
        <f>P162+P167+P174</f>
        <v>0</v>
      </c>
      <c r="Q161" s="383">
        <f>Q162+Q167+Q174</f>
        <v>0</v>
      </c>
      <c r="R161" s="361">
        <f t="shared" ref="R161:R175" si="97">P161+Q161</f>
        <v>0</v>
      </c>
      <c r="S161" s="383">
        <f>S162+S167+S174</f>
        <v>0</v>
      </c>
      <c r="T161" s="383">
        <f>T162+T167+T174</f>
        <v>0</v>
      </c>
      <c r="U161" s="361">
        <f t="shared" ref="U161:U175" si="98">S161+T161</f>
        <v>0</v>
      </c>
      <c r="V161" s="383">
        <f>V162+V167+V174</f>
        <v>1339885706</v>
      </c>
      <c r="W161" s="383">
        <f>W162+W167+W174</f>
        <v>245887746</v>
      </c>
      <c r="X161" s="361">
        <f t="shared" ref="X161:X175" si="99">V161+W161</f>
        <v>1585773452</v>
      </c>
      <c r="Y161" s="311">
        <f t="shared" ref="Y161:Y176" si="100">R161+U161+X161</f>
        <v>1585773452</v>
      </c>
      <c r="Z161" s="317">
        <f t="shared" ref="Z161:Z176" si="101">O161-Y161</f>
        <v>27046598</v>
      </c>
      <c r="AA161" s="267"/>
      <c r="AB161" s="267"/>
      <c r="AC161" s="267"/>
      <c r="AD161" s="267"/>
      <c r="AE161" s="267"/>
      <c r="AF161" s="267"/>
      <c r="AG161" s="267">
        <f>SUM(AG159:AG160)</f>
        <v>128584000</v>
      </c>
      <c r="AH161" s="267"/>
      <c r="AI161" s="267"/>
      <c r="AJ161" s="267"/>
      <c r="AK161" s="267"/>
      <c r="AL161" s="267"/>
    </row>
    <row r="162" spans="1:38" s="268" customFormat="1" ht="30" customHeight="1">
      <c r="A162" s="379">
        <v>7</v>
      </c>
      <c r="B162" s="380" t="s">
        <v>19</v>
      </c>
      <c r="C162" s="380" t="s">
        <v>22</v>
      </c>
      <c r="D162" s="289">
        <v>2</v>
      </c>
      <c r="E162" s="302" t="s">
        <v>30</v>
      </c>
      <c r="F162" s="302" t="s">
        <v>19</v>
      </c>
      <c r="G162" s="289">
        <v>5</v>
      </c>
      <c r="H162" s="289">
        <v>1</v>
      </c>
      <c r="I162" s="302" t="s">
        <v>22</v>
      </c>
      <c r="J162" s="328" t="s">
        <v>19</v>
      </c>
      <c r="K162" s="315"/>
      <c r="L162" s="315"/>
      <c r="M162" s="326"/>
      <c r="N162" s="323" t="s">
        <v>65</v>
      </c>
      <c r="O162" s="381">
        <f>O163</f>
        <v>34381000</v>
      </c>
      <c r="P162" s="382">
        <f>P163</f>
        <v>0</v>
      </c>
      <c r="Q162" s="383">
        <f>Q163</f>
        <v>0</v>
      </c>
      <c r="R162" s="361">
        <f t="shared" si="97"/>
        <v>0</v>
      </c>
      <c r="S162" s="383">
        <f>S163</f>
        <v>0</v>
      </c>
      <c r="T162" s="383">
        <f>T163</f>
        <v>0</v>
      </c>
      <c r="U162" s="361">
        <f t="shared" si="98"/>
        <v>0</v>
      </c>
      <c r="V162" s="383">
        <f>V163</f>
        <v>25117600</v>
      </c>
      <c r="W162" s="383">
        <f>W163</f>
        <v>3676000</v>
      </c>
      <c r="X162" s="361">
        <f t="shared" si="99"/>
        <v>28793600</v>
      </c>
      <c r="Y162" s="311">
        <f t="shared" si="100"/>
        <v>28793600</v>
      </c>
      <c r="Z162" s="317">
        <f t="shared" si="101"/>
        <v>5587400</v>
      </c>
      <c r="AA162" s="267"/>
      <c r="AB162" s="267"/>
      <c r="AC162" s="267"/>
      <c r="AD162" s="267"/>
      <c r="AE162" s="267"/>
      <c r="AF162" s="267"/>
      <c r="AG162" s="267"/>
      <c r="AH162" s="267"/>
      <c r="AI162" s="267"/>
      <c r="AJ162" s="267"/>
      <c r="AK162" s="267"/>
      <c r="AL162" s="267"/>
    </row>
    <row r="163" spans="1:38" s="268" customFormat="1" ht="30" customHeight="1">
      <c r="A163" s="379">
        <v>7</v>
      </c>
      <c r="B163" s="380" t="s">
        <v>19</v>
      </c>
      <c r="C163" s="380" t="s">
        <v>22</v>
      </c>
      <c r="D163" s="289">
        <v>2</v>
      </c>
      <c r="E163" s="302" t="s">
        <v>30</v>
      </c>
      <c r="F163" s="302" t="s">
        <v>19</v>
      </c>
      <c r="G163" s="289">
        <v>5</v>
      </c>
      <c r="H163" s="289">
        <v>1</v>
      </c>
      <c r="I163" s="302" t="s">
        <v>22</v>
      </c>
      <c r="J163" s="328" t="s">
        <v>19</v>
      </c>
      <c r="K163" s="328" t="s">
        <v>19</v>
      </c>
      <c r="L163" s="315"/>
      <c r="M163" s="326"/>
      <c r="N163" s="323" t="s">
        <v>51</v>
      </c>
      <c r="O163" s="381">
        <f>SUM(O164:O166)</f>
        <v>34381000</v>
      </c>
      <c r="P163" s="382">
        <f>SUM(P164:P166)</f>
        <v>0</v>
      </c>
      <c r="Q163" s="383">
        <f>SUM(Q164:Q166)</f>
        <v>0</v>
      </c>
      <c r="R163" s="361">
        <f t="shared" si="97"/>
        <v>0</v>
      </c>
      <c r="S163" s="383">
        <f>SUM(S164:S166)</f>
        <v>0</v>
      </c>
      <c r="T163" s="383">
        <f>SUM(T164:T166)</f>
        <v>0</v>
      </c>
      <c r="U163" s="361">
        <f t="shared" si="98"/>
        <v>0</v>
      </c>
      <c r="V163" s="383">
        <f>SUM(V164:V166)</f>
        <v>25117600</v>
      </c>
      <c r="W163" s="383">
        <f>SUM(W164:W166)</f>
        <v>3676000</v>
      </c>
      <c r="X163" s="361">
        <f t="shared" si="99"/>
        <v>28793600</v>
      </c>
      <c r="Y163" s="311">
        <f t="shared" si="100"/>
        <v>28793600</v>
      </c>
      <c r="Z163" s="317">
        <f t="shared" si="101"/>
        <v>5587400</v>
      </c>
      <c r="AA163" s="267"/>
      <c r="AB163" s="267"/>
      <c r="AC163" s="267"/>
      <c r="AD163" s="267">
        <f>1976000+84000</f>
        <v>2060000</v>
      </c>
      <c r="AE163" s="267"/>
      <c r="AF163" s="267"/>
      <c r="AG163" s="267"/>
      <c r="AH163" s="267"/>
      <c r="AI163" s="267"/>
      <c r="AJ163" s="267"/>
      <c r="AK163" s="267"/>
      <c r="AL163" s="267"/>
    </row>
    <row r="164" spans="1:38" s="268" customFormat="1" ht="41.15" customHeight="1">
      <c r="A164" s="384">
        <v>7</v>
      </c>
      <c r="B164" s="385" t="s">
        <v>19</v>
      </c>
      <c r="C164" s="385" t="s">
        <v>22</v>
      </c>
      <c r="D164" s="307">
        <v>2</v>
      </c>
      <c r="E164" s="306" t="s">
        <v>30</v>
      </c>
      <c r="F164" s="306" t="s">
        <v>19</v>
      </c>
      <c r="G164" s="307">
        <v>5</v>
      </c>
      <c r="H164" s="307">
        <v>1</v>
      </c>
      <c r="I164" s="306" t="s">
        <v>22</v>
      </c>
      <c r="J164" s="314" t="s">
        <v>19</v>
      </c>
      <c r="K164" s="314" t="s">
        <v>19</v>
      </c>
      <c r="L164" s="314" t="s">
        <v>27</v>
      </c>
      <c r="M164" s="326">
        <v>4</v>
      </c>
      <c r="N164" s="318" t="s">
        <v>94</v>
      </c>
      <c r="O164" s="349">
        <v>8595750</v>
      </c>
      <c r="P164" s="361"/>
      <c r="Q164" s="361"/>
      <c r="R164" s="361">
        <f t="shared" si="97"/>
        <v>0</v>
      </c>
      <c r="S164" s="361"/>
      <c r="T164" s="361"/>
      <c r="U164" s="361">
        <f t="shared" si="98"/>
        <v>0</v>
      </c>
      <c r="V164" s="350">
        <f>'[1]SPJ FUNGSIONAL '!$X$164</f>
        <v>7748850</v>
      </c>
      <c r="W164" s="350">
        <v>700000</v>
      </c>
      <c r="X164" s="350">
        <f t="shared" si="99"/>
        <v>8448850</v>
      </c>
      <c r="Y164" s="311">
        <f t="shared" si="100"/>
        <v>8448850</v>
      </c>
      <c r="Z164" s="310">
        <f t="shared" si="101"/>
        <v>146900</v>
      </c>
      <c r="AA164" s="267"/>
      <c r="AB164" s="267"/>
      <c r="AC164" s="267"/>
      <c r="AD164" s="267"/>
      <c r="AE164" s="267"/>
      <c r="AF164" s="267"/>
      <c r="AG164" s="267">
        <v>2119500</v>
      </c>
      <c r="AH164" s="267"/>
      <c r="AI164" s="267"/>
      <c r="AJ164" s="267"/>
      <c r="AK164" s="267"/>
      <c r="AL164" s="267"/>
    </row>
    <row r="165" spans="1:38" s="268" customFormat="1" ht="46" customHeight="1">
      <c r="A165" s="384">
        <v>7</v>
      </c>
      <c r="B165" s="385" t="s">
        <v>19</v>
      </c>
      <c r="C165" s="385" t="s">
        <v>22</v>
      </c>
      <c r="D165" s="307">
        <v>2</v>
      </c>
      <c r="E165" s="306" t="s">
        <v>30</v>
      </c>
      <c r="F165" s="306" t="s">
        <v>19</v>
      </c>
      <c r="G165" s="307">
        <v>5</v>
      </c>
      <c r="H165" s="307">
        <v>1</v>
      </c>
      <c r="I165" s="306" t="s">
        <v>22</v>
      </c>
      <c r="J165" s="314" t="s">
        <v>19</v>
      </c>
      <c r="K165" s="314" t="s">
        <v>19</v>
      </c>
      <c r="L165" s="314" t="s">
        <v>52</v>
      </c>
      <c r="M165" s="342" t="s">
        <v>79</v>
      </c>
      <c r="N165" s="318" t="s">
        <v>173</v>
      </c>
      <c r="O165" s="349">
        <v>10667500</v>
      </c>
      <c r="P165" s="361"/>
      <c r="Q165" s="361"/>
      <c r="R165" s="361">
        <f t="shared" si="97"/>
        <v>0</v>
      </c>
      <c r="S165" s="361"/>
      <c r="T165" s="361"/>
      <c r="U165" s="361">
        <f t="shared" si="98"/>
        <v>0</v>
      </c>
      <c r="V165" s="350">
        <f>'[1]SPJ FUNGSIONAL '!$X$165</f>
        <v>7882500</v>
      </c>
      <c r="W165" s="350">
        <v>1000000</v>
      </c>
      <c r="X165" s="350">
        <f t="shared" si="99"/>
        <v>8882500</v>
      </c>
      <c r="Y165" s="311">
        <f t="shared" si="100"/>
        <v>8882500</v>
      </c>
      <c r="Z165" s="310">
        <f t="shared" si="101"/>
        <v>1785000</v>
      </c>
      <c r="AA165" s="267"/>
      <c r="AB165" s="267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</row>
    <row r="166" spans="1:38" s="268" customFormat="1" ht="46" customHeight="1">
      <c r="A166" s="384">
        <v>7</v>
      </c>
      <c r="B166" s="385" t="s">
        <v>19</v>
      </c>
      <c r="C166" s="385" t="s">
        <v>22</v>
      </c>
      <c r="D166" s="307">
        <v>2</v>
      </c>
      <c r="E166" s="306" t="s">
        <v>30</v>
      </c>
      <c r="F166" s="306" t="s">
        <v>19</v>
      </c>
      <c r="G166" s="307">
        <v>5</v>
      </c>
      <c r="H166" s="307">
        <v>1</v>
      </c>
      <c r="I166" s="306" t="s">
        <v>22</v>
      </c>
      <c r="J166" s="314" t="s">
        <v>19</v>
      </c>
      <c r="K166" s="314" t="s">
        <v>19</v>
      </c>
      <c r="L166" s="314" t="s">
        <v>52</v>
      </c>
      <c r="M166" s="342">
        <v>6</v>
      </c>
      <c r="N166" s="318" t="s">
        <v>176</v>
      </c>
      <c r="O166" s="349">
        <v>15117750</v>
      </c>
      <c r="P166" s="361"/>
      <c r="Q166" s="361"/>
      <c r="R166" s="361">
        <f t="shared" si="97"/>
        <v>0</v>
      </c>
      <c r="S166" s="361"/>
      <c r="T166" s="361"/>
      <c r="U166" s="361">
        <f t="shared" si="98"/>
        <v>0</v>
      </c>
      <c r="V166" s="350">
        <f>'[1]SPJ FUNGSIONAL '!$X$166</f>
        <v>9486250</v>
      </c>
      <c r="W166" s="525">
        <f>2060000-84000</f>
        <v>1976000</v>
      </c>
      <c r="X166" s="350">
        <f t="shared" si="99"/>
        <v>11462250</v>
      </c>
      <c r="Y166" s="311">
        <f t="shared" si="100"/>
        <v>11462250</v>
      </c>
      <c r="Z166" s="310">
        <f t="shared" si="101"/>
        <v>3655500</v>
      </c>
      <c r="AA166" s="267"/>
      <c r="AB166" s="267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</row>
    <row r="167" spans="1:38" s="268" customFormat="1" ht="30" customHeight="1">
      <c r="A167" s="379">
        <v>7</v>
      </c>
      <c r="B167" s="380" t="s">
        <v>19</v>
      </c>
      <c r="C167" s="380" t="s">
        <v>22</v>
      </c>
      <c r="D167" s="289">
        <v>2</v>
      </c>
      <c r="E167" s="302" t="s">
        <v>30</v>
      </c>
      <c r="F167" s="302" t="s">
        <v>19</v>
      </c>
      <c r="G167" s="289">
        <v>5</v>
      </c>
      <c r="H167" s="289">
        <v>1</v>
      </c>
      <c r="I167" s="302" t="s">
        <v>22</v>
      </c>
      <c r="J167" s="328" t="s">
        <v>22</v>
      </c>
      <c r="K167" s="315"/>
      <c r="L167" s="315"/>
      <c r="M167" s="326"/>
      <c r="N167" s="323" t="s">
        <v>75</v>
      </c>
      <c r="O167" s="381">
        <f>O168+O171</f>
        <v>1494268800</v>
      </c>
      <c r="P167" s="382">
        <f>P168+P171</f>
        <v>0</v>
      </c>
      <c r="Q167" s="383">
        <f>Q168+Q171</f>
        <v>0</v>
      </c>
      <c r="R167" s="361">
        <f t="shared" si="97"/>
        <v>0</v>
      </c>
      <c r="S167" s="383">
        <f>S168+S171</f>
        <v>0</v>
      </c>
      <c r="T167" s="383">
        <f>T168+T171</f>
        <v>0</v>
      </c>
      <c r="U167" s="361">
        <f t="shared" si="98"/>
        <v>0</v>
      </c>
      <c r="V167" s="383">
        <f>V168+V171</f>
        <v>1239755544</v>
      </c>
      <c r="W167" s="383">
        <f>W168+W171</f>
        <v>235340296</v>
      </c>
      <c r="X167" s="361">
        <f t="shared" si="99"/>
        <v>1475095840</v>
      </c>
      <c r="Y167" s="311">
        <f t="shared" si="100"/>
        <v>1475095840</v>
      </c>
      <c r="Z167" s="317">
        <f t="shared" si="101"/>
        <v>19172960</v>
      </c>
      <c r="AA167" s="267"/>
      <c r="AB167" s="267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</row>
    <row r="168" spans="1:38" s="268" customFormat="1" ht="30" customHeight="1">
      <c r="A168" s="379">
        <v>7</v>
      </c>
      <c r="B168" s="380" t="s">
        <v>19</v>
      </c>
      <c r="C168" s="380" t="s">
        <v>22</v>
      </c>
      <c r="D168" s="289">
        <v>2</v>
      </c>
      <c r="E168" s="302" t="s">
        <v>30</v>
      </c>
      <c r="F168" s="302" t="s">
        <v>19</v>
      </c>
      <c r="G168" s="289">
        <v>5</v>
      </c>
      <c r="H168" s="289">
        <v>1</v>
      </c>
      <c r="I168" s="302" t="s">
        <v>22</v>
      </c>
      <c r="J168" s="328" t="s">
        <v>22</v>
      </c>
      <c r="K168" s="328" t="s">
        <v>19</v>
      </c>
      <c r="L168" s="315"/>
      <c r="M168" s="326"/>
      <c r="N168" s="323" t="s">
        <v>114</v>
      </c>
      <c r="O168" s="381">
        <f>SUM(O169:O170)</f>
        <v>1477680000</v>
      </c>
      <c r="P168" s="382">
        <f>SUM(P169:P170)</f>
        <v>0</v>
      </c>
      <c r="Q168" s="383">
        <f>SUM(Q169:Q170)</f>
        <v>0</v>
      </c>
      <c r="R168" s="361">
        <f t="shared" si="97"/>
        <v>0</v>
      </c>
      <c r="S168" s="383">
        <f>SUM(S169:S170)</f>
        <v>0</v>
      </c>
      <c r="T168" s="383">
        <f>SUM(T169:T170)</f>
        <v>0</v>
      </c>
      <c r="U168" s="361">
        <f t="shared" si="98"/>
        <v>0</v>
      </c>
      <c r="V168" s="383">
        <f>SUM(V169:V170)</f>
        <v>1232846000</v>
      </c>
      <c r="W168" s="383">
        <f>SUM(W169:W170)</f>
        <v>234546000</v>
      </c>
      <c r="X168" s="361">
        <f t="shared" si="99"/>
        <v>1467392000</v>
      </c>
      <c r="Y168" s="311">
        <f t="shared" si="100"/>
        <v>1467392000</v>
      </c>
      <c r="Z168" s="317">
        <f t="shared" si="101"/>
        <v>10288000</v>
      </c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</row>
    <row r="169" spans="1:38" s="268" customFormat="1" ht="30" customHeight="1">
      <c r="A169" s="384">
        <v>7</v>
      </c>
      <c r="B169" s="385" t="s">
        <v>19</v>
      </c>
      <c r="C169" s="385" t="s">
        <v>22</v>
      </c>
      <c r="D169" s="307">
        <v>2</v>
      </c>
      <c r="E169" s="306" t="s">
        <v>30</v>
      </c>
      <c r="F169" s="306" t="s">
        <v>19</v>
      </c>
      <c r="G169" s="307">
        <v>5</v>
      </c>
      <c r="H169" s="307">
        <v>1</v>
      </c>
      <c r="I169" s="306" t="s">
        <v>22</v>
      </c>
      <c r="J169" s="314" t="s">
        <v>22</v>
      </c>
      <c r="K169" s="314" t="s">
        <v>19</v>
      </c>
      <c r="L169" s="314" t="s">
        <v>52</v>
      </c>
      <c r="M169" s="342" t="s">
        <v>79</v>
      </c>
      <c r="N169" s="318" t="s">
        <v>177</v>
      </c>
      <c r="O169" s="349">
        <v>1475280000</v>
      </c>
      <c r="P169" s="361"/>
      <c r="Q169" s="361"/>
      <c r="R169" s="361">
        <f t="shared" si="97"/>
        <v>0</v>
      </c>
      <c r="S169" s="361"/>
      <c r="T169" s="361"/>
      <c r="U169" s="361">
        <f t="shared" si="98"/>
        <v>0</v>
      </c>
      <c r="V169" s="350">
        <f>'[1]SPJ FUNGSIONAL '!$X$169</f>
        <v>1232720000</v>
      </c>
      <c r="W169" s="350">
        <v>234160000</v>
      </c>
      <c r="X169" s="350">
        <f t="shared" si="99"/>
        <v>1466880000</v>
      </c>
      <c r="Y169" s="311">
        <f t="shared" si="100"/>
        <v>1466880000</v>
      </c>
      <c r="Z169" s="310">
        <f t="shared" si="101"/>
        <v>8400000</v>
      </c>
      <c r="AA169" s="267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</row>
    <row r="170" spans="1:38" s="268" customFormat="1" ht="30" customHeight="1">
      <c r="A170" s="384">
        <v>7</v>
      </c>
      <c r="B170" s="385" t="s">
        <v>19</v>
      </c>
      <c r="C170" s="385" t="s">
        <v>22</v>
      </c>
      <c r="D170" s="307">
        <v>2</v>
      </c>
      <c r="E170" s="306" t="s">
        <v>30</v>
      </c>
      <c r="F170" s="306" t="s">
        <v>19</v>
      </c>
      <c r="G170" s="307">
        <v>5</v>
      </c>
      <c r="H170" s="307">
        <v>1</v>
      </c>
      <c r="I170" s="306" t="s">
        <v>22</v>
      </c>
      <c r="J170" s="314" t="s">
        <v>22</v>
      </c>
      <c r="K170" s="314" t="s">
        <v>19</v>
      </c>
      <c r="L170" s="314" t="s">
        <v>78</v>
      </c>
      <c r="M170" s="326">
        <v>7</v>
      </c>
      <c r="N170" s="309" t="s">
        <v>95</v>
      </c>
      <c r="O170" s="349">
        <v>2400000</v>
      </c>
      <c r="P170" s="361"/>
      <c r="Q170" s="361"/>
      <c r="R170" s="361">
        <f t="shared" si="97"/>
        <v>0</v>
      </c>
      <c r="S170" s="361"/>
      <c r="T170" s="361"/>
      <c r="U170" s="361">
        <f t="shared" si="98"/>
        <v>0</v>
      </c>
      <c r="V170" s="350">
        <f>'[1]SPJ FUNGSIONAL '!$X$170</f>
        <v>126000</v>
      </c>
      <c r="W170" s="350">
        <v>386000</v>
      </c>
      <c r="X170" s="350">
        <f t="shared" si="99"/>
        <v>512000</v>
      </c>
      <c r="Y170" s="311">
        <f t="shared" si="100"/>
        <v>512000</v>
      </c>
      <c r="Z170" s="310">
        <f t="shared" si="101"/>
        <v>1888000</v>
      </c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</row>
    <row r="171" spans="1:38" s="268" customFormat="1" ht="30" customHeight="1">
      <c r="A171" s="379">
        <v>7</v>
      </c>
      <c r="B171" s="380" t="s">
        <v>19</v>
      </c>
      <c r="C171" s="380" t="s">
        <v>22</v>
      </c>
      <c r="D171" s="289">
        <v>2</v>
      </c>
      <c r="E171" s="302" t="s">
        <v>30</v>
      </c>
      <c r="F171" s="302" t="s">
        <v>19</v>
      </c>
      <c r="G171" s="289">
        <v>5</v>
      </c>
      <c r="H171" s="289">
        <v>1</v>
      </c>
      <c r="I171" s="302" t="s">
        <v>22</v>
      </c>
      <c r="J171" s="328" t="s">
        <v>22</v>
      </c>
      <c r="K171" s="328" t="s">
        <v>22</v>
      </c>
      <c r="L171" s="315"/>
      <c r="M171" s="326"/>
      <c r="N171" s="323" t="s">
        <v>88</v>
      </c>
      <c r="O171" s="381">
        <f>SUM(O172:O173)</f>
        <v>16588800</v>
      </c>
      <c r="P171" s="382">
        <f>SUM(P172:P173)</f>
        <v>0</v>
      </c>
      <c r="Q171" s="383">
        <f>SUM(Q172:Q173)</f>
        <v>0</v>
      </c>
      <c r="R171" s="361">
        <f t="shared" si="97"/>
        <v>0</v>
      </c>
      <c r="S171" s="383">
        <f>SUM(S172:S173)</f>
        <v>0</v>
      </c>
      <c r="T171" s="383">
        <f>SUM(T172:T173)</f>
        <v>0</v>
      </c>
      <c r="U171" s="361">
        <f t="shared" si="98"/>
        <v>0</v>
      </c>
      <c r="V171" s="383">
        <f>SUM(V172:V173)</f>
        <v>6909544</v>
      </c>
      <c r="W171" s="383">
        <f>SUM(W172:W173)</f>
        <v>794296</v>
      </c>
      <c r="X171" s="361">
        <f t="shared" si="99"/>
        <v>7703840</v>
      </c>
      <c r="Y171" s="311">
        <f t="shared" si="100"/>
        <v>7703840</v>
      </c>
      <c r="Z171" s="310">
        <f t="shared" si="101"/>
        <v>8884960</v>
      </c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</row>
    <row r="172" spans="1:38" s="268" customFormat="1" ht="45" customHeight="1">
      <c r="A172" s="384">
        <v>7</v>
      </c>
      <c r="B172" s="385" t="s">
        <v>19</v>
      </c>
      <c r="C172" s="385" t="s">
        <v>22</v>
      </c>
      <c r="D172" s="307">
        <v>2</v>
      </c>
      <c r="E172" s="306" t="s">
        <v>30</v>
      </c>
      <c r="F172" s="306" t="s">
        <v>19</v>
      </c>
      <c r="G172" s="307">
        <v>5</v>
      </c>
      <c r="H172" s="307">
        <v>1</v>
      </c>
      <c r="I172" s="306" t="s">
        <v>22</v>
      </c>
      <c r="J172" s="314" t="s">
        <v>22</v>
      </c>
      <c r="K172" s="314" t="s">
        <v>22</v>
      </c>
      <c r="L172" s="314" t="s">
        <v>27</v>
      </c>
      <c r="M172" s="326">
        <v>6</v>
      </c>
      <c r="N172" s="318" t="s">
        <v>178</v>
      </c>
      <c r="O172" s="349">
        <v>4147200</v>
      </c>
      <c r="P172" s="361"/>
      <c r="Q172" s="361"/>
      <c r="R172" s="361">
        <f t="shared" si="97"/>
        <v>0</v>
      </c>
      <c r="S172" s="361"/>
      <c r="T172" s="361"/>
      <c r="U172" s="361">
        <f t="shared" si="98"/>
        <v>0</v>
      </c>
      <c r="V172" s="350">
        <f>'[1]SPJ FUNGSIONAL '!$X$172</f>
        <v>3117510</v>
      </c>
      <c r="W172" s="525">
        <f>446346-6336</f>
        <v>440010</v>
      </c>
      <c r="X172" s="350">
        <f t="shared" si="99"/>
        <v>3557520</v>
      </c>
      <c r="Y172" s="311">
        <f t="shared" si="100"/>
        <v>3557520</v>
      </c>
      <c r="Z172" s="310">
        <f t="shared" si="101"/>
        <v>589680</v>
      </c>
      <c r="AA172" s="267"/>
      <c r="AB172" s="267"/>
      <c r="AC172" s="267"/>
      <c r="AD172" s="267">
        <f>6336+440010</f>
        <v>446346</v>
      </c>
      <c r="AE172" s="267"/>
      <c r="AF172" s="267"/>
      <c r="AG172" s="267"/>
      <c r="AH172" s="267"/>
      <c r="AI172" s="267"/>
      <c r="AJ172" s="267"/>
      <c r="AK172" s="267"/>
      <c r="AL172" s="267"/>
    </row>
    <row r="173" spans="1:38" s="268" customFormat="1" ht="37.5" customHeight="1">
      <c r="A173" s="384">
        <v>7</v>
      </c>
      <c r="B173" s="385" t="s">
        <v>19</v>
      </c>
      <c r="C173" s="385" t="s">
        <v>22</v>
      </c>
      <c r="D173" s="307">
        <v>2</v>
      </c>
      <c r="E173" s="306" t="s">
        <v>30</v>
      </c>
      <c r="F173" s="306" t="s">
        <v>19</v>
      </c>
      <c r="G173" s="307">
        <v>5</v>
      </c>
      <c r="H173" s="307">
        <v>1</v>
      </c>
      <c r="I173" s="306" t="s">
        <v>22</v>
      </c>
      <c r="J173" s="314" t="s">
        <v>22</v>
      </c>
      <c r="K173" s="314" t="s">
        <v>22</v>
      </c>
      <c r="L173" s="314" t="s">
        <v>27</v>
      </c>
      <c r="M173" s="326">
        <v>7</v>
      </c>
      <c r="N173" s="309" t="s">
        <v>179</v>
      </c>
      <c r="O173" s="349">
        <v>12441600</v>
      </c>
      <c r="P173" s="361"/>
      <c r="Q173" s="361"/>
      <c r="R173" s="361">
        <f t="shared" si="97"/>
        <v>0</v>
      </c>
      <c r="S173" s="361"/>
      <c r="T173" s="361"/>
      <c r="U173" s="361">
        <f t="shared" si="98"/>
        <v>0</v>
      </c>
      <c r="V173" s="350">
        <f>'[1]SPJ FUNGSIONAL '!$X$173</f>
        <v>3792034</v>
      </c>
      <c r="W173" s="350">
        <v>354286</v>
      </c>
      <c r="X173" s="350">
        <f t="shared" si="99"/>
        <v>4146320</v>
      </c>
      <c r="Y173" s="311">
        <f t="shared" si="100"/>
        <v>4146320</v>
      </c>
      <c r="Z173" s="310">
        <f t="shared" si="101"/>
        <v>8295280</v>
      </c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</row>
    <row r="174" spans="1:38" s="268" customFormat="1" ht="30" customHeight="1">
      <c r="A174" s="379">
        <v>7</v>
      </c>
      <c r="B174" s="380" t="s">
        <v>19</v>
      </c>
      <c r="C174" s="380" t="s">
        <v>22</v>
      </c>
      <c r="D174" s="289">
        <v>2</v>
      </c>
      <c r="E174" s="302" t="s">
        <v>30</v>
      </c>
      <c r="F174" s="302" t="s">
        <v>10</v>
      </c>
      <c r="G174" s="289">
        <v>5</v>
      </c>
      <c r="H174" s="289">
        <v>1</v>
      </c>
      <c r="I174" s="302" t="s">
        <v>22</v>
      </c>
      <c r="J174" s="328" t="s">
        <v>30</v>
      </c>
      <c r="K174" s="329"/>
      <c r="L174" s="315"/>
      <c r="M174" s="326"/>
      <c r="N174" s="323" t="s">
        <v>180</v>
      </c>
      <c r="O174" s="381">
        <f t="shared" ref="O174:Q175" si="102">O175</f>
        <v>84170250</v>
      </c>
      <c r="P174" s="382">
        <f t="shared" si="102"/>
        <v>0</v>
      </c>
      <c r="Q174" s="383">
        <f t="shared" si="102"/>
        <v>0</v>
      </c>
      <c r="R174" s="361">
        <f t="shared" si="97"/>
        <v>0</v>
      </c>
      <c r="S174" s="383">
        <f>S175</f>
        <v>0</v>
      </c>
      <c r="T174" s="383">
        <f>T175</f>
        <v>0</v>
      </c>
      <c r="U174" s="361">
        <f t="shared" si="98"/>
        <v>0</v>
      </c>
      <c r="V174" s="383">
        <f>V175</f>
        <v>75012562</v>
      </c>
      <c r="W174" s="383">
        <f>W175</f>
        <v>6871450</v>
      </c>
      <c r="X174" s="361">
        <f t="shared" si="99"/>
        <v>81884012</v>
      </c>
      <c r="Y174" s="311">
        <f t="shared" si="100"/>
        <v>81884012</v>
      </c>
      <c r="Z174" s="317">
        <f t="shared" si="101"/>
        <v>2286238</v>
      </c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</row>
    <row r="175" spans="1:38" s="268" customFormat="1" ht="30" customHeight="1">
      <c r="A175" s="379">
        <v>7</v>
      </c>
      <c r="B175" s="380" t="s">
        <v>19</v>
      </c>
      <c r="C175" s="380" t="s">
        <v>22</v>
      </c>
      <c r="D175" s="289">
        <v>2</v>
      </c>
      <c r="E175" s="302" t="s">
        <v>30</v>
      </c>
      <c r="F175" s="302" t="s">
        <v>19</v>
      </c>
      <c r="G175" s="289">
        <v>5</v>
      </c>
      <c r="H175" s="289">
        <v>1</v>
      </c>
      <c r="I175" s="302" t="s">
        <v>22</v>
      </c>
      <c r="J175" s="328" t="s">
        <v>30</v>
      </c>
      <c r="K175" s="328" t="s">
        <v>22</v>
      </c>
      <c r="L175" s="315"/>
      <c r="M175" s="326"/>
      <c r="N175" s="316" t="s">
        <v>97</v>
      </c>
      <c r="O175" s="381">
        <f t="shared" si="102"/>
        <v>84170250</v>
      </c>
      <c r="P175" s="382">
        <f t="shared" si="102"/>
        <v>0</v>
      </c>
      <c r="Q175" s="383">
        <f t="shared" si="102"/>
        <v>0</v>
      </c>
      <c r="R175" s="361">
        <f t="shared" si="97"/>
        <v>0</v>
      </c>
      <c r="S175" s="383">
        <f>S176</f>
        <v>0</v>
      </c>
      <c r="T175" s="383">
        <f>T176</f>
        <v>0</v>
      </c>
      <c r="U175" s="361">
        <f t="shared" si="98"/>
        <v>0</v>
      </c>
      <c r="V175" s="383">
        <f>V176</f>
        <v>75012562</v>
      </c>
      <c r="W175" s="383">
        <f>W176</f>
        <v>6871450</v>
      </c>
      <c r="X175" s="361">
        <f t="shared" si="99"/>
        <v>81884012</v>
      </c>
      <c r="Y175" s="311">
        <f t="shared" si="100"/>
        <v>81884012</v>
      </c>
      <c r="Z175" s="317">
        <f t="shared" si="101"/>
        <v>2286238</v>
      </c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</row>
    <row r="176" spans="1:38" s="268" customFormat="1" ht="43" customHeight="1">
      <c r="A176" s="384">
        <v>7</v>
      </c>
      <c r="B176" s="385" t="s">
        <v>19</v>
      </c>
      <c r="C176" s="385" t="s">
        <v>22</v>
      </c>
      <c r="D176" s="307">
        <v>2</v>
      </c>
      <c r="E176" s="306" t="s">
        <v>30</v>
      </c>
      <c r="F176" s="306" t="s">
        <v>19</v>
      </c>
      <c r="G176" s="307">
        <v>5</v>
      </c>
      <c r="H176" s="307">
        <v>1</v>
      </c>
      <c r="I176" s="306" t="s">
        <v>22</v>
      </c>
      <c r="J176" s="314" t="s">
        <v>30</v>
      </c>
      <c r="K176" s="314" t="s">
        <v>22</v>
      </c>
      <c r="L176" s="314" t="s">
        <v>52</v>
      </c>
      <c r="M176" s="326">
        <v>9</v>
      </c>
      <c r="N176" s="318" t="s">
        <v>181</v>
      </c>
      <c r="O176" s="349">
        <v>84170250</v>
      </c>
      <c r="P176" s="361"/>
      <c r="Q176" s="361"/>
      <c r="R176" s="361">
        <f>P176+Q176</f>
        <v>0</v>
      </c>
      <c r="S176" s="361"/>
      <c r="T176" s="361"/>
      <c r="U176" s="361">
        <f>S176+T176</f>
        <v>0</v>
      </c>
      <c r="V176" s="350">
        <f>'[1]SPJ FUNGSIONAL '!$X$176</f>
        <v>75012562</v>
      </c>
      <c r="W176" s="350">
        <v>6871450</v>
      </c>
      <c r="X176" s="350">
        <f>V176+W176</f>
        <v>81884012</v>
      </c>
      <c r="Y176" s="311">
        <f t="shared" si="100"/>
        <v>81884012</v>
      </c>
      <c r="Z176" s="310">
        <f t="shared" si="101"/>
        <v>2286238</v>
      </c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67"/>
      <c r="AL176" s="267"/>
    </row>
    <row r="177" spans="1:38" s="268" customFormat="1" ht="30" customHeight="1">
      <c r="A177" s="345"/>
      <c r="B177" s="346"/>
      <c r="C177" s="346"/>
      <c r="D177" s="346"/>
      <c r="E177" s="346"/>
      <c r="F177" s="346"/>
      <c r="G177" s="346"/>
      <c r="H177" s="346"/>
      <c r="I177" s="346"/>
      <c r="J177" s="346"/>
      <c r="K177" s="346"/>
      <c r="L177" s="346"/>
      <c r="M177" s="347"/>
      <c r="N177" s="348"/>
      <c r="O177" s="349"/>
      <c r="P177" s="361"/>
      <c r="Q177" s="361"/>
      <c r="R177" s="361"/>
      <c r="S177" s="361"/>
      <c r="T177" s="361"/>
      <c r="U177" s="361"/>
      <c r="V177" s="361"/>
      <c r="W177" s="361"/>
      <c r="X177" s="361"/>
      <c r="Y177" s="275"/>
      <c r="Z177" s="276"/>
      <c r="AA177" s="267"/>
      <c r="AB177" s="267"/>
      <c r="AC177" s="267"/>
      <c r="AD177" s="267"/>
      <c r="AE177" s="267"/>
      <c r="AF177" s="267"/>
      <c r="AG177" s="267"/>
      <c r="AH177" s="267"/>
      <c r="AI177" s="267"/>
      <c r="AJ177" s="267"/>
      <c r="AK177" s="267"/>
      <c r="AL177" s="267"/>
    </row>
    <row r="178" spans="1:38" s="268" customFormat="1" ht="55.5" customHeight="1">
      <c r="A178" s="362">
        <v>7</v>
      </c>
      <c r="B178" s="363" t="s">
        <v>19</v>
      </c>
      <c r="C178" s="363" t="s">
        <v>22</v>
      </c>
      <c r="D178" s="363" t="s">
        <v>64</v>
      </c>
      <c r="E178" s="364"/>
      <c r="F178" s="364"/>
      <c r="G178" s="364"/>
      <c r="H178" s="364"/>
      <c r="I178" s="364"/>
      <c r="J178" s="364"/>
      <c r="K178" s="364"/>
      <c r="L178" s="364"/>
      <c r="M178" s="386"/>
      <c r="N178" s="283" t="s">
        <v>111</v>
      </c>
      <c r="O178" s="387">
        <f>O180</f>
        <v>2167856200</v>
      </c>
      <c r="P178" s="368">
        <f>P180</f>
        <v>0</v>
      </c>
      <c r="Q178" s="368">
        <f>Q180</f>
        <v>0</v>
      </c>
      <c r="R178" s="368">
        <f>P178+Q178</f>
        <v>0</v>
      </c>
      <c r="S178" s="368">
        <f>S180</f>
        <v>0</v>
      </c>
      <c r="T178" s="368">
        <f>T180</f>
        <v>0</v>
      </c>
      <c r="U178" s="368">
        <f>S178+T178</f>
        <v>0</v>
      </c>
      <c r="V178" s="368">
        <f>V180</f>
        <v>1648428400</v>
      </c>
      <c r="W178" s="368">
        <f>W180</f>
        <v>402643143</v>
      </c>
      <c r="X178" s="368">
        <f>V178+W178</f>
        <v>2051071543</v>
      </c>
      <c r="Y178" s="286">
        <f>R178+U178+X178</f>
        <v>2051071543</v>
      </c>
      <c r="Z178" s="287">
        <f>O178-Y178</f>
        <v>116784657</v>
      </c>
      <c r="AA178" s="267"/>
      <c r="AB178" s="267"/>
      <c r="AC178" s="267"/>
      <c r="AD178" s="267"/>
      <c r="AE178" s="267"/>
      <c r="AF178" s="267"/>
      <c r="AG178" s="267"/>
      <c r="AH178" s="267"/>
      <c r="AI178" s="267"/>
      <c r="AJ178" s="267"/>
      <c r="AK178" s="267"/>
      <c r="AL178" s="267"/>
    </row>
    <row r="179" spans="1:38" s="278" customFormat="1" ht="11.25" customHeight="1">
      <c r="A179" s="388"/>
      <c r="B179" s="389"/>
      <c r="C179" s="389"/>
      <c r="D179" s="389"/>
      <c r="E179" s="389"/>
      <c r="F179" s="389"/>
      <c r="G179" s="389"/>
      <c r="H179" s="389"/>
      <c r="I179" s="389"/>
      <c r="J179" s="389"/>
      <c r="K179" s="389"/>
      <c r="L179" s="389"/>
      <c r="M179" s="390"/>
      <c r="N179" s="272"/>
      <c r="O179" s="273"/>
      <c r="P179" s="274"/>
      <c r="Q179" s="274"/>
      <c r="R179" s="274"/>
      <c r="S179" s="274"/>
      <c r="T179" s="274"/>
      <c r="U179" s="274"/>
      <c r="V179" s="274"/>
      <c r="W179" s="274"/>
      <c r="X179" s="274"/>
      <c r="Y179" s="303"/>
      <c r="Z179" s="291"/>
      <c r="AA179" s="277"/>
      <c r="AB179" s="277"/>
      <c r="AC179" s="277"/>
      <c r="AD179" s="277"/>
      <c r="AE179" s="277"/>
      <c r="AF179" s="277"/>
      <c r="AG179" s="277"/>
      <c r="AH179" s="277"/>
      <c r="AI179" s="277"/>
      <c r="AJ179" s="277"/>
      <c r="AK179" s="277"/>
      <c r="AL179" s="277"/>
    </row>
    <row r="180" spans="1:38" s="268" customFormat="1" ht="76.5" customHeight="1">
      <c r="A180" s="371">
        <v>7</v>
      </c>
      <c r="B180" s="372" t="s">
        <v>19</v>
      </c>
      <c r="C180" s="372" t="s">
        <v>22</v>
      </c>
      <c r="D180" s="297">
        <v>2</v>
      </c>
      <c r="E180" s="373" t="s">
        <v>54</v>
      </c>
      <c r="F180" s="373" t="s">
        <v>30</v>
      </c>
      <c r="G180" s="375"/>
      <c r="H180" s="375"/>
      <c r="I180" s="375"/>
      <c r="J180" s="375"/>
      <c r="K180" s="375"/>
      <c r="L180" s="375"/>
      <c r="M180" s="376"/>
      <c r="N180" s="321" t="s">
        <v>265</v>
      </c>
      <c r="O180" s="300">
        <f>O181</f>
        <v>2167856200</v>
      </c>
      <c r="P180" s="301">
        <f>P181</f>
        <v>0</v>
      </c>
      <c r="Q180" s="301">
        <f>Q181</f>
        <v>0</v>
      </c>
      <c r="R180" s="301">
        <f>P180+Q180</f>
        <v>0</v>
      </c>
      <c r="S180" s="301">
        <f>S181</f>
        <v>0</v>
      </c>
      <c r="T180" s="301">
        <f>T181</f>
        <v>0</v>
      </c>
      <c r="U180" s="301">
        <f t="shared" ref="U180:U211" si="103">S180+T180</f>
        <v>0</v>
      </c>
      <c r="V180" s="301">
        <f>V181</f>
        <v>1648428400</v>
      </c>
      <c r="W180" s="301">
        <f>W181</f>
        <v>402643143</v>
      </c>
      <c r="X180" s="301">
        <f t="shared" ref="X180:X211" si="104">V180+W180</f>
        <v>2051071543</v>
      </c>
      <c r="Y180" s="301">
        <f>R180+U180+X180</f>
        <v>2051071543</v>
      </c>
      <c r="Z180" s="300">
        <f>O180-Y180</f>
        <v>116784657</v>
      </c>
      <c r="AA180" s="267"/>
      <c r="AB180" s="267"/>
      <c r="AC180" s="267"/>
      <c r="AD180" s="267"/>
      <c r="AE180" s="267"/>
      <c r="AF180" s="267"/>
      <c r="AG180" s="267"/>
      <c r="AH180" s="267"/>
      <c r="AI180" s="267"/>
      <c r="AJ180" s="267"/>
      <c r="AK180" s="267"/>
      <c r="AL180" s="267"/>
    </row>
    <row r="181" spans="1:38" s="268" customFormat="1" ht="31.2" customHeight="1">
      <c r="A181" s="379">
        <v>7</v>
      </c>
      <c r="B181" s="380" t="s">
        <v>19</v>
      </c>
      <c r="C181" s="380" t="s">
        <v>22</v>
      </c>
      <c r="D181" s="289">
        <v>2</v>
      </c>
      <c r="E181" s="302" t="s">
        <v>54</v>
      </c>
      <c r="F181" s="302" t="s">
        <v>30</v>
      </c>
      <c r="G181" s="289">
        <v>5</v>
      </c>
      <c r="H181" s="289">
        <v>1</v>
      </c>
      <c r="I181" s="302" t="s">
        <v>22</v>
      </c>
      <c r="J181" s="329"/>
      <c r="K181" s="315"/>
      <c r="L181" s="315"/>
      <c r="M181" s="326"/>
      <c r="N181" s="323" t="s">
        <v>49</v>
      </c>
      <c r="O181" s="317">
        <f>O182+O196+O205+O209</f>
        <v>2167856200</v>
      </c>
      <c r="P181" s="304">
        <f>P182+P196</f>
        <v>0</v>
      </c>
      <c r="Q181" s="304">
        <f>Q182+Q196</f>
        <v>0</v>
      </c>
      <c r="R181" s="304">
        <f>P181+Q181</f>
        <v>0</v>
      </c>
      <c r="S181" s="304">
        <f>S182+S196</f>
        <v>0</v>
      </c>
      <c r="T181" s="304">
        <f>T182+T196</f>
        <v>0</v>
      </c>
      <c r="U181" s="304">
        <f t="shared" si="103"/>
        <v>0</v>
      </c>
      <c r="V181" s="304">
        <f>V182+V196</f>
        <v>1648428400</v>
      </c>
      <c r="W181" s="304">
        <f>W182+W196</f>
        <v>402643143</v>
      </c>
      <c r="X181" s="304">
        <f t="shared" si="104"/>
        <v>2051071543</v>
      </c>
      <c r="Y181" s="304">
        <f t="shared" ref="Y181:Y211" si="105">R181+U181+X181</f>
        <v>2051071543</v>
      </c>
      <c r="Z181" s="317">
        <f t="shared" ref="Z181:Z211" si="106">O181-Y181</f>
        <v>116784657</v>
      </c>
      <c r="AA181" s="267"/>
      <c r="AB181" s="267"/>
      <c r="AC181" s="267"/>
      <c r="AD181" s="267"/>
      <c r="AE181" s="267"/>
      <c r="AF181" s="267"/>
      <c r="AG181" s="267"/>
      <c r="AH181" s="267"/>
      <c r="AI181" s="267"/>
      <c r="AJ181" s="267"/>
      <c r="AK181" s="267"/>
      <c r="AL181" s="267"/>
    </row>
    <row r="182" spans="1:38" s="268" customFormat="1" ht="31.2" customHeight="1">
      <c r="A182" s="379">
        <v>7</v>
      </c>
      <c r="B182" s="380" t="s">
        <v>19</v>
      </c>
      <c r="C182" s="380" t="s">
        <v>22</v>
      </c>
      <c r="D182" s="289">
        <v>2</v>
      </c>
      <c r="E182" s="302" t="s">
        <v>54</v>
      </c>
      <c r="F182" s="302" t="s">
        <v>30</v>
      </c>
      <c r="G182" s="289">
        <v>5</v>
      </c>
      <c r="H182" s="289">
        <v>1</v>
      </c>
      <c r="I182" s="302" t="s">
        <v>22</v>
      </c>
      <c r="J182" s="328" t="s">
        <v>19</v>
      </c>
      <c r="K182" s="315"/>
      <c r="L182" s="315"/>
      <c r="M182" s="326"/>
      <c r="N182" s="323" t="s">
        <v>65</v>
      </c>
      <c r="O182" s="317">
        <f>O183</f>
        <v>512753450</v>
      </c>
      <c r="P182" s="304">
        <f>P183</f>
        <v>0</v>
      </c>
      <c r="Q182" s="304">
        <f>Q183</f>
        <v>0</v>
      </c>
      <c r="R182" s="304">
        <f t="shared" ref="R182:R211" si="107">P182+Q182</f>
        <v>0</v>
      </c>
      <c r="S182" s="304">
        <f>S183</f>
        <v>0</v>
      </c>
      <c r="T182" s="304">
        <f>T183</f>
        <v>0</v>
      </c>
      <c r="U182" s="304">
        <f t="shared" si="103"/>
        <v>0</v>
      </c>
      <c r="V182" s="304">
        <f>V183</f>
        <v>358581150</v>
      </c>
      <c r="W182" s="304">
        <f>W183</f>
        <v>85768143</v>
      </c>
      <c r="X182" s="304">
        <f t="shared" si="104"/>
        <v>444349293</v>
      </c>
      <c r="Y182" s="304">
        <f t="shared" si="105"/>
        <v>444349293</v>
      </c>
      <c r="Z182" s="317">
        <f t="shared" si="106"/>
        <v>68404157</v>
      </c>
      <c r="AA182" s="267"/>
      <c r="AB182" s="267"/>
      <c r="AC182" s="267"/>
      <c r="AD182" s="267"/>
      <c r="AE182" s="267"/>
      <c r="AF182" s="267"/>
      <c r="AG182" s="267"/>
      <c r="AH182" s="267"/>
      <c r="AI182" s="267"/>
      <c r="AJ182" s="267"/>
      <c r="AK182" s="267"/>
      <c r="AL182" s="267"/>
    </row>
    <row r="183" spans="1:38" s="268" customFormat="1" ht="31.2" customHeight="1">
      <c r="A183" s="379">
        <v>7</v>
      </c>
      <c r="B183" s="380" t="s">
        <v>19</v>
      </c>
      <c r="C183" s="380" t="s">
        <v>22</v>
      </c>
      <c r="D183" s="289">
        <v>2</v>
      </c>
      <c r="E183" s="302" t="s">
        <v>54</v>
      </c>
      <c r="F183" s="302" t="s">
        <v>30</v>
      </c>
      <c r="G183" s="289">
        <v>5</v>
      </c>
      <c r="H183" s="289">
        <v>1</v>
      </c>
      <c r="I183" s="302" t="s">
        <v>22</v>
      </c>
      <c r="J183" s="328" t="s">
        <v>19</v>
      </c>
      <c r="K183" s="328" t="s">
        <v>19</v>
      </c>
      <c r="L183" s="315"/>
      <c r="M183" s="326"/>
      <c r="N183" s="323" t="s">
        <v>51</v>
      </c>
      <c r="O183" s="317">
        <f>SUM(O184:O195)</f>
        <v>512753450</v>
      </c>
      <c r="P183" s="304">
        <f>SUM(P185:P193)</f>
        <v>0</v>
      </c>
      <c r="Q183" s="304">
        <f>SUM(Q185:Q193)</f>
        <v>0</v>
      </c>
      <c r="R183" s="304">
        <f t="shared" si="107"/>
        <v>0</v>
      </c>
      <c r="S183" s="304">
        <f>SUM(S185:S193)</f>
        <v>0</v>
      </c>
      <c r="T183" s="304">
        <f>SUM(T185:T193)</f>
        <v>0</v>
      </c>
      <c r="U183" s="304">
        <f t="shared" si="103"/>
        <v>0</v>
      </c>
      <c r="V183" s="304">
        <f>SUM(V184:V195)</f>
        <v>358581150</v>
      </c>
      <c r="W183" s="304">
        <f>SUM(W184:W195)</f>
        <v>85768143</v>
      </c>
      <c r="X183" s="304">
        <f>V183+W183</f>
        <v>444349293</v>
      </c>
      <c r="Y183" s="304">
        <f t="shared" si="105"/>
        <v>444349293</v>
      </c>
      <c r="Z183" s="317">
        <f t="shared" si="106"/>
        <v>68404157</v>
      </c>
      <c r="AA183" s="267"/>
      <c r="AB183" s="267"/>
      <c r="AC183" s="267"/>
      <c r="AD183" s="267"/>
      <c r="AE183" s="267"/>
      <c r="AF183" s="267"/>
      <c r="AG183" s="267"/>
      <c r="AH183" s="267"/>
      <c r="AI183" s="267"/>
      <c r="AJ183" s="267"/>
      <c r="AK183" s="267"/>
      <c r="AL183" s="267"/>
    </row>
    <row r="184" spans="1:38" s="268" customFormat="1" ht="31.2" customHeight="1">
      <c r="A184" s="384">
        <v>7</v>
      </c>
      <c r="B184" s="385" t="s">
        <v>19</v>
      </c>
      <c r="C184" s="385" t="s">
        <v>22</v>
      </c>
      <c r="D184" s="307">
        <v>2</v>
      </c>
      <c r="E184" s="306" t="s">
        <v>54</v>
      </c>
      <c r="F184" s="306" t="s">
        <v>30</v>
      </c>
      <c r="G184" s="307">
        <v>5</v>
      </c>
      <c r="H184" s="307">
        <v>1</v>
      </c>
      <c r="I184" s="306" t="s">
        <v>22</v>
      </c>
      <c r="J184" s="314" t="s">
        <v>19</v>
      </c>
      <c r="K184" s="314" t="s">
        <v>19</v>
      </c>
      <c r="L184" s="314" t="s">
        <v>171</v>
      </c>
      <c r="M184" s="326">
        <v>2</v>
      </c>
      <c r="N184" s="309" t="s">
        <v>258</v>
      </c>
      <c r="O184" s="310">
        <v>8000000</v>
      </c>
      <c r="P184" s="304"/>
      <c r="Q184" s="304"/>
      <c r="R184" s="304"/>
      <c r="S184" s="304"/>
      <c r="T184" s="304"/>
      <c r="U184" s="304"/>
      <c r="V184" s="311">
        <f>'[1]SPJ FUNGSIONAL '!$X$184</f>
        <v>2704000</v>
      </c>
      <c r="W184" s="311"/>
      <c r="X184" s="311">
        <f t="shared" ref="X184" si="108">V184+W184</f>
        <v>2704000</v>
      </c>
      <c r="Y184" s="311">
        <f t="shared" ref="Y184" si="109">R184+U184+X184</f>
        <v>2704000</v>
      </c>
      <c r="Z184" s="310">
        <f t="shared" ref="Z184" si="110">O184-Y184</f>
        <v>5296000</v>
      </c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7"/>
      <c r="AL184" s="267"/>
    </row>
    <row r="185" spans="1:38" s="268" customFormat="1" ht="31.2" customHeight="1">
      <c r="A185" s="384">
        <v>7</v>
      </c>
      <c r="B185" s="385" t="s">
        <v>19</v>
      </c>
      <c r="C185" s="385" t="s">
        <v>22</v>
      </c>
      <c r="D185" s="307">
        <v>2</v>
      </c>
      <c r="E185" s="306" t="s">
        <v>54</v>
      </c>
      <c r="F185" s="306" t="s">
        <v>30</v>
      </c>
      <c r="G185" s="307">
        <v>5</v>
      </c>
      <c r="H185" s="307">
        <v>1</v>
      </c>
      <c r="I185" s="306" t="s">
        <v>22</v>
      </c>
      <c r="J185" s="314" t="s">
        <v>19</v>
      </c>
      <c r="K185" s="314" t="s">
        <v>19</v>
      </c>
      <c r="L185" s="314" t="s">
        <v>56</v>
      </c>
      <c r="M185" s="326">
        <v>4</v>
      </c>
      <c r="N185" s="309" t="s">
        <v>57</v>
      </c>
      <c r="O185" s="310">
        <v>7581250</v>
      </c>
      <c r="P185" s="311"/>
      <c r="Q185" s="311"/>
      <c r="R185" s="311">
        <f t="shared" si="107"/>
        <v>0</v>
      </c>
      <c r="S185" s="311"/>
      <c r="T185" s="311"/>
      <c r="U185" s="311">
        <f t="shared" si="103"/>
        <v>0</v>
      </c>
      <c r="V185" s="311">
        <f>'[1]SPJ FUNGSIONAL '!$X$185</f>
        <v>3686800</v>
      </c>
      <c r="W185" s="311">
        <f>2647830-20000</f>
        <v>2627830</v>
      </c>
      <c r="X185" s="311">
        <f t="shared" si="104"/>
        <v>6314630</v>
      </c>
      <c r="Y185" s="311">
        <f t="shared" si="105"/>
        <v>6314630</v>
      </c>
      <c r="Z185" s="310">
        <f t="shared" si="106"/>
        <v>1266620</v>
      </c>
      <c r="AA185" s="267"/>
      <c r="AB185" s="267"/>
      <c r="AC185" s="267"/>
      <c r="AD185" s="267"/>
      <c r="AE185" s="267"/>
      <c r="AF185" s="267"/>
      <c r="AG185" s="267"/>
      <c r="AH185" s="267"/>
      <c r="AI185" s="267"/>
      <c r="AJ185" s="267"/>
      <c r="AK185" s="267"/>
      <c r="AL185" s="267"/>
    </row>
    <row r="186" spans="1:38" s="268" customFormat="1" ht="42" customHeight="1">
      <c r="A186" s="384">
        <v>7</v>
      </c>
      <c r="B186" s="385" t="s">
        <v>19</v>
      </c>
      <c r="C186" s="385" t="s">
        <v>22</v>
      </c>
      <c r="D186" s="307">
        <v>2</v>
      </c>
      <c r="E186" s="306" t="s">
        <v>54</v>
      </c>
      <c r="F186" s="306" t="s">
        <v>30</v>
      </c>
      <c r="G186" s="307">
        <v>5</v>
      </c>
      <c r="H186" s="307">
        <v>1</v>
      </c>
      <c r="I186" s="306" t="s">
        <v>22</v>
      </c>
      <c r="J186" s="314" t="s">
        <v>19</v>
      </c>
      <c r="K186" s="314" t="s">
        <v>19</v>
      </c>
      <c r="L186" s="314" t="s">
        <v>56</v>
      </c>
      <c r="M186" s="326">
        <v>5</v>
      </c>
      <c r="N186" s="318" t="s">
        <v>58</v>
      </c>
      <c r="O186" s="310">
        <v>6881000</v>
      </c>
      <c r="P186" s="311"/>
      <c r="Q186" s="311"/>
      <c r="R186" s="311">
        <f t="shared" si="107"/>
        <v>0</v>
      </c>
      <c r="S186" s="311"/>
      <c r="T186" s="311"/>
      <c r="U186" s="311">
        <f t="shared" si="103"/>
        <v>0</v>
      </c>
      <c r="V186" s="311">
        <f>'[1]SPJ FUNGSIONAL '!$X$186</f>
        <v>1513800</v>
      </c>
      <c r="W186" s="311">
        <v>2978400</v>
      </c>
      <c r="X186" s="311">
        <f t="shared" si="104"/>
        <v>4492200</v>
      </c>
      <c r="Y186" s="311">
        <f t="shared" si="105"/>
        <v>4492200</v>
      </c>
      <c r="Z186" s="310">
        <f t="shared" si="106"/>
        <v>2388800</v>
      </c>
      <c r="AA186" s="267"/>
      <c r="AB186" s="267"/>
      <c r="AC186" s="267"/>
      <c r="AD186" s="267"/>
      <c r="AE186" s="267"/>
      <c r="AF186" s="267"/>
      <c r="AG186" s="267"/>
      <c r="AH186" s="267"/>
      <c r="AI186" s="267"/>
      <c r="AJ186" s="267"/>
      <c r="AK186" s="267"/>
      <c r="AL186" s="267"/>
    </row>
    <row r="187" spans="1:38" s="268" customFormat="1" ht="47.25" customHeight="1">
      <c r="A187" s="384">
        <v>7</v>
      </c>
      <c r="B187" s="385" t="s">
        <v>19</v>
      </c>
      <c r="C187" s="385" t="s">
        <v>22</v>
      </c>
      <c r="D187" s="307">
        <v>2</v>
      </c>
      <c r="E187" s="306" t="s">
        <v>54</v>
      </c>
      <c r="F187" s="306" t="s">
        <v>30</v>
      </c>
      <c r="G187" s="307">
        <v>5</v>
      </c>
      <c r="H187" s="307">
        <v>1</v>
      </c>
      <c r="I187" s="306" t="s">
        <v>22</v>
      </c>
      <c r="J187" s="314" t="s">
        <v>19</v>
      </c>
      <c r="K187" s="314" t="s">
        <v>19</v>
      </c>
      <c r="L187" s="314" t="s">
        <v>56</v>
      </c>
      <c r="M187" s="326">
        <v>6</v>
      </c>
      <c r="N187" s="318" t="s">
        <v>62</v>
      </c>
      <c r="O187" s="310">
        <v>57656200</v>
      </c>
      <c r="P187" s="311"/>
      <c r="Q187" s="311"/>
      <c r="R187" s="311">
        <f t="shared" si="107"/>
        <v>0</v>
      </c>
      <c r="S187" s="311"/>
      <c r="T187" s="311"/>
      <c r="U187" s="311">
        <f t="shared" si="103"/>
        <v>0</v>
      </c>
      <c r="V187" s="311">
        <f>'[1]SPJ FUNGSIONAL '!$X$187</f>
        <v>43031650</v>
      </c>
      <c r="W187" s="311">
        <v>6724250</v>
      </c>
      <c r="X187" s="311">
        <f t="shared" si="104"/>
        <v>49755900</v>
      </c>
      <c r="Y187" s="311">
        <f t="shared" si="105"/>
        <v>49755900</v>
      </c>
      <c r="Z187" s="310">
        <f t="shared" si="106"/>
        <v>7900300</v>
      </c>
      <c r="AA187" s="267"/>
      <c r="AB187" s="267"/>
      <c r="AC187" s="267"/>
      <c r="AD187" s="267"/>
      <c r="AE187" s="267"/>
      <c r="AF187" s="267"/>
      <c r="AG187" s="267"/>
      <c r="AH187" s="267"/>
      <c r="AI187" s="267"/>
      <c r="AJ187" s="267"/>
      <c r="AK187" s="267"/>
      <c r="AL187" s="267"/>
    </row>
    <row r="188" spans="1:38" s="268" customFormat="1" ht="44.25" customHeight="1">
      <c r="A188" s="384">
        <v>7</v>
      </c>
      <c r="B188" s="385" t="s">
        <v>19</v>
      </c>
      <c r="C188" s="385" t="s">
        <v>22</v>
      </c>
      <c r="D188" s="307">
        <v>2</v>
      </c>
      <c r="E188" s="306" t="s">
        <v>54</v>
      </c>
      <c r="F188" s="306" t="s">
        <v>30</v>
      </c>
      <c r="G188" s="307">
        <v>5</v>
      </c>
      <c r="H188" s="307">
        <v>1</v>
      </c>
      <c r="I188" s="306" t="s">
        <v>22</v>
      </c>
      <c r="J188" s="314" t="s">
        <v>19</v>
      </c>
      <c r="K188" s="314" t="s">
        <v>19</v>
      </c>
      <c r="L188" s="314" t="s">
        <v>56</v>
      </c>
      <c r="M188" s="326">
        <v>9</v>
      </c>
      <c r="N188" s="318" t="s">
        <v>59</v>
      </c>
      <c r="O188" s="310">
        <v>1550000</v>
      </c>
      <c r="P188" s="311"/>
      <c r="Q188" s="311"/>
      <c r="R188" s="311">
        <f t="shared" si="107"/>
        <v>0</v>
      </c>
      <c r="S188" s="311"/>
      <c r="T188" s="311"/>
      <c r="U188" s="311">
        <f t="shared" si="103"/>
        <v>0</v>
      </c>
      <c r="V188" s="311">
        <f>'[6]SPJ FUNGSIONAL '!$Y$188</f>
        <v>800000</v>
      </c>
      <c r="W188" s="311">
        <v>200000</v>
      </c>
      <c r="X188" s="311">
        <f t="shared" si="104"/>
        <v>1000000</v>
      </c>
      <c r="Y188" s="311">
        <f t="shared" si="105"/>
        <v>1000000</v>
      </c>
      <c r="Z188" s="310">
        <f t="shared" si="106"/>
        <v>550000</v>
      </c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7"/>
      <c r="AL188" s="267"/>
    </row>
    <row r="189" spans="1:38" s="268" customFormat="1" ht="44.25" customHeight="1">
      <c r="A189" s="384">
        <v>7</v>
      </c>
      <c r="B189" s="385" t="s">
        <v>19</v>
      </c>
      <c r="C189" s="385" t="s">
        <v>22</v>
      </c>
      <c r="D189" s="307">
        <v>2</v>
      </c>
      <c r="E189" s="306" t="s">
        <v>54</v>
      </c>
      <c r="F189" s="306" t="s">
        <v>30</v>
      </c>
      <c r="G189" s="307">
        <v>5</v>
      </c>
      <c r="H189" s="307">
        <v>1</v>
      </c>
      <c r="I189" s="306" t="s">
        <v>22</v>
      </c>
      <c r="J189" s="314" t="s">
        <v>19</v>
      </c>
      <c r="K189" s="314" t="s">
        <v>19</v>
      </c>
      <c r="L189" s="314" t="s">
        <v>52</v>
      </c>
      <c r="M189" s="326">
        <v>0</v>
      </c>
      <c r="N189" s="318" t="s">
        <v>259</v>
      </c>
      <c r="O189" s="310">
        <v>1600000</v>
      </c>
      <c r="P189" s="311"/>
      <c r="Q189" s="311"/>
      <c r="R189" s="311">
        <f>P189+Q189</f>
        <v>0</v>
      </c>
      <c r="S189" s="311"/>
      <c r="T189" s="311"/>
      <c r="U189" s="311">
        <f>S189+T189</f>
        <v>0</v>
      </c>
      <c r="V189" s="311">
        <f>'[2]SPJ FUNGSIONAL '!$X$189</f>
        <v>400000</v>
      </c>
      <c r="W189" s="311"/>
      <c r="X189" s="311">
        <f>V189+W189</f>
        <v>400000</v>
      </c>
      <c r="Y189" s="311">
        <f>R189+U189+X189</f>
        <v>400000</v>
      </c>
      <c r="Z189" s="310">
        <f>O189-Y189</f>
        <v>1200000</v>
      </c>
      <c r="AA189" s="267"/>
      <c r="AB189" s="267"/>
      <c r="AC189" s="267"/>
      <c r="AD189" s="267"/>
      <c r="AE189" s="267"/>
      <c r="AF189" s="267"/>
      <c r="AG189" s="267"/>
      <c r="AH189" s="267"/>
      <c r="AI189" s="267"/>
      <c r="AJ189" s="267"/>
      <c r="AK189" s="267"/>
      <c r="AL189" s="267"/>
    </row>
    <row r="190" spans="1:38" s="268" customFormat="1" ht="49.5" customHeight="1">
      <c r="A190" s="384">
        <v>7</v>
      </c>
      <c r="B190" s="385" t="s">
        <v>19</v>
      </c>
      <c r="C190" s="385" t="s">
        <v>22</v>
      </c>
      <c r="D190" s="307">
        <v>2</v>
      </c>
      <c r="E190" s="306" t="s">
        <v>54</v>
      </c>
      <c r="F190" s="306" t="s">
        <v>30</v>
      </c>
      <c r="G190" s="307">
        <v>5</v>
      </c>
      <c r="H190" s="307">
        <v>1</v>
      </c>
      <c r="I190" s="306" t="s">
        <v>22</v>
      </c>
      <c r="J190" s="314" t="s">
        <v>19</v>
      </c>
      <c r="K190" s="314" t="s">
        <v>19</v>
      </c>
      <c r="L190" s="314" t="s">
        <v>52</v>
      </c>
      <c r="M190" s="326">
        <v>5</v>
      </c>
      <c r="N190" s="318" t="s">
        <v>260</v>
      </c>
      <c r="O190" s="310">
        <v>10000000</v>
      </c>
      <c r="P190" s="311"/>
      <c r="Q190" s="311"/>
      <c r="R190" s="311">
        <f t="shared" si="107"/>
        <v>0</v>
      </c>
      <c r="S190" s="311"/>
      <c r="T190" s="311"/>
      <c r="U190" s="311">
        <f t="shared" si="103"/>
        <v>0</v>
      </c>
      <c r="V190" s="311">
        <f>'[3]SPJ FUNGSIONAL '!$X$190</f>
        <v>7757000</v>
      </c>
      <c r="W190" s="311"/>
      <c r="X190" s="311">
        <f t="shared" si="104"/>
        <v>7757000</v>
      </c>
      <c r="Y190" s="311">
        <f t="shared" si="105"/>
        <v>7757000</v>
      </c>
      <c r="Z190" s="310">
        <f t="shared" si="106"/>
        <v>2243000</v>
      </c>
      <c r="AA190" s="267"/>
      <c r="AB190" s="267"/>
      <c r="AC190" s="267"/>
      <c r="AD190" s="267"/>
      <c r="AE190" s="267"/>
      <c r="AF190" s="267"/>
      <c r="AG190" s="267"/>
      <c r="AH190" s="267"/>
      <c r="AI190" s="267"/>
      <c r="AJ190" s="267"/>
      <c r="AK190" s="267"/>
      <c r="AL190" s="267"/>
    </row>
    <row r="191" spans="1:38" s="268" customFormat="1" ht="28.95" customHeight="1">
      <c r="A191" s="384">
        <v>7</v>
      </c>
      <c r="B191" s="385" t="s">
        <v>19</v>
      </c>
      <c r="C191" s="385" t="s">
        <v>22</v>
      </c>
      <c r="D191" s="307">
        <v>2</v>
      </c>
      <c r="E191" s="306" t="s">
        <v>54</v>
      </c>
      <c r="F191" s="306" t="s">
        <v>30</v>
      </c>
      <c r="G191" s="307">
        <v>5</v>
      </c>
      <c r="H191" s="307">
        <v>1</v>
      </c>
      <c r="I191" s="306" t="s">
        <v>22</v>
      </c>
      <c r="J191" s="314" t="s">
        <v>19</v>
      </c>
      <c r="K191" s="314" t="s">
        <v>19</v>
      </c>
      <c r="L191" s="314" t="s">
        <v>66</v>
      </c>
      <c r="M191" s="326">
        <v>2</v>
      </c>
      <c r="N191" s="309" t="s">
        <v>67</v>
      </c>
      <c r="O191" s="310">
        <v>119470000</v>
      </c>
      <c r="P191" s="311"/>
      <c r="Q191" s="311"/>
      <c r="R191" s="311">
        <f t="shared" si="107"/>
        <v>0</v>
      </c>
      <c r="S191" s="311"/>
      <c r="T191" s="311"/>
      <c r="U191" s="311">
        <f t="shared" si="103"/>
        <v>0</v>
      </c>
      <c r="V191" s="311">
        <f>'[1]SPJ FUNGSIONAL '!$X$191</f>
        <v>65358300</v>
      </c>
      <c r="W191" s="311">
        <v>27271388</v>
      </c>
      <c r="X191" s="311">
        <f t="shared" si="104"/>
        <v>92629688</v>
      </c>
      <c r="Y191" s="311">
        <f t="shared" si="105"/>
        <v>92629688</v>
      </c>
      <c r="Z191" s="310">
        <f t="shared" si="106"/>
        <v>26840312</v>
      </c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7"/>
      <c r="AL191" s="267"/>
    </row>
    <row r="192" spans="1:38" s="268" customFormat="1" ht="45" customHeight="1">
      <c r="A192" s="384">
        <v>7</v>
      </c>
      <c r="B192" s="385" t="s">
        <v>19</v>
      </c>
      <c r="C192" s="385" t="s">
        <v>22</v>
      </c>
      <c r="D192" s="307">
        <v>2</v>
      </c>
      <c r="E192" s="306" t="s">
        <v>54</v>
      </c>
      <c r="F192" s="306" t="s">
        <v>30</v>
      </c>
      <c r="G192" s="307">
        <v>5</v>
      </c>
      <c r="H192" s="307">
        <v>1</v>
      </c>
      <c r="I192" s="306" t="s">
        <v>22</v>
      </c>
      <c r="J192" s="314" t="s">
        <v>19</v>
      </c>
      <c r="K192" s="314" t="s">
        <v>19</v>
      </c>
      <c r="L192" s="314" t="s">
        <v>66</v>
      </c>
      <c r="M192" s="326">
        <v>6</v>
      </c>
      <c r="N192" s="318" t="s">
        <v>201</v>
      </c>
      <c r="O192" s="310">
        <v>207660000</v>
      </c>
      <c r="P192" s="311"/>
      <c r="Q192" s="311"/>
      <c r="R192" s="311">
        <f>P192+Q192</f>
        <v>0</v>
      </c>
      <c r="S192" s="311"/>
      <c r="T192" s="311"/>
      <c r="U192" s="311">
        <f>S192+T192</f>
        <v>0</v>
      </c>
      <c r="V192" s="311">
        <f>'[1]SPJ FUNGSIONAL '!$X$192</f>
        <v>159343250</v>
      </c>
      <c r="W192" s="530">
        <f>32618250-84625</f>
        <v>32533625</v>
      </c>
      <c r="X192" s="311">
        <f>V192+W192</f>
        <v>191876875</v>
      </c>
      <c r="Y192" s="311">
        <f>R192+U192+X192</f>
        <v>191876875</v>
      </c>
      <c r="Z192" s="310">
        <f>O192-Y192</f>
        <v>15783125</v>
      </c>
      <c r="AA192" s="267"/>
      <c r="AB192" s="267"/>
      <c r="AC192" s="267"/>
      <c r="AD192" s="267"/>
      <c r="AE192" s="267"/>
      <c r="AF192" s="267"/>
      <c r="AG192" s="267"/>
      <c r="AH192" s="267"/>
      <c r="AI192" s="267"/>
      <c r="AJ192" s="267"/>
      <c r="AK192" s="267"/>
      <c r="AL192" s="267"/>
    </row>
    <row r="193" spans="1:38" s="268" customFormat="1" ht="36.75" customHeight="1">
      <c r="A193" s="384">
        <v>7</v>
      </c>
      <c r="B193" s="385" t="s">
        <v>19</v>
      </c>
      <c r="C193" s="385" t="s">
        <v>22</v>
      </c>
      <c r="D193" s="307">
        <v>2</v>
      </c>
      <c r="E193" s="306" t="s">
        <v>54</v>
      </c>
      <c r="F193" s="306" t="s">
        <v>30</v>
      </c>
      <c r="G193" s="307">
        <v>5</v>
      </c>
      <c r="H193" s="307">
        <v>1</v>
      </c>
      <c r="I193" s="306" t="s">
        <v>22</v>
      </c>
      <c r="J193" s="314" t="s">
        <v>19</v>
      </c>
      <c r="K193" s="314" t="s">
        <v>19</v>
      </c>
      <c r="L193" s="314" t="s">
        <v>66</v>
      </c>
      <c r="M193" s="326">
        <v>8</v>
      </c>
      <c r="N193" s="309" t="s">
        <v>113</v>
      </c>
      <c r="O193" s="310">
        <v>51805000</v>
      </c>
      <c r="P193" s="311"/>
      <c r="Q193" s="311"/>
      <c r="R193" s="311">
        <f t="shared" si="107"/>
        <v>0</v>
      </c>
      <c r="S193" s="311"/>
      <c r="T193" s="311"/>
      <c r="U193" s="311">
        <f t="shared" si="103"/>
        <v>0</v>
      </c>
      <c r="V193" s="311">
        <f>'[7]SPJ FUNGSIONAL '!$X$193</f>
        <v>45036350</v>
      </c>
      <c r="W193" s="311">
        <v>2486400</v>
      </c>
      <c r="X193" s="311">
        <f t="shared" si="104"/>
        <v>47522750</v>
      </c>
      <c r="Y193" s="311">
        <f t="shared" si="105"/>
        <v>47522750</v>
      </c>
      <c r="Z193" s="310">
        <f t="shared" si="106"/>
        <v>4282250</v>
      </c>
      <c r="AA193" s="267"/>
      <c r="AB193" s="267"/>
      <c r="AC193" s="267"/>
      <c r="AD193" s="267"/>
      <c r="AE193" s="267"/>
      <c r="AF193" s="267"/>
      <c r="AG193" s="267"/>
      <c r="AH193" s="267"/>
      <c r="AI193" s="267"/>
      <c r="AJ193" s="267"/>
      <c r="AK193" s="267"/>
      <c r="AL193" s="267"/>
    </row>
    <row r="194" spans="1:38" s="268" customFormat="1" ht="36.75" customHeight="1">
      <c r="A194" s="384">
        <v>7</v>
      </c>
      <c r="B194" s="385" t="s">
        <v>19</v>
      </c>
      <c r="C194" s="385" t="s">
        <v>22</v>
      </c>
      <c r="D194" s="307">
        <v>2</v>
      </c>
      <c r="E194" s="306" t="s">
        <v>54</v>
      </c>
      <c r="F194" s="306" t="s">
        <v>30</v>
      </c>
      <c r="G194" s="307">
        <v>5</v>
      </c>
      <c r="H194" s="307">
        <v>1</v>
      </c>
      <c r="I194" s="306" t="s">
        <v>22</v>
      </c>
      <c r="J194" s="314" t="s">
        <v>19</v>
      </c>
      <c r="K194" s="314" t="s">
        <v>19</v>
      </c>
      <c r="L194" s="314" t="s">
        <v>128</v>
      </c>
      <c r="M194" s="326">
        <v>5</v>
      </c>
      <c r="N194" s="309" t="s">
        <v>150</v>
      </c>
      <c r="O194" s="310">
        <v>36350000</v>
      </c>
      <c r="P194" s="311"/>
      <c r="Q194" s="311"/>
      <c r="R194" s="311"/>
      <c r="S194" s="311"/>
      <c r="T194" s="311"/>
      <c r="U194" s="311"/>
      <c r="V194" s="311">
        <f>'[1]SPJ FUNGSIONAL '!$X$194</f>
        <v>24750000</v>
      </c>
      <c r="W194" s="311">
        <v>10946250</v>
      </c>
      <c r="X194" s="311">
        <f t="shared" ref="X194:X195" si="111">V194+W194</f>
        <v>35696250</v>
      </c>
      <c r="Y194" s="311">
        <f t="shared" ref="Y194" si="112">R194+U194+X194</f>
        <v>35696250</v>
      </c>
      <c r="Z194" s="310">
        <f t="shared" ref="Z194" si="113">O194-Y194</f>
        <v>653750</v>
      </c>
      <c r="AA194" s="267"/>
      <c r="AB194" s="267"/>
      <c r="AC194" s="267"/>
      <c r="AD194" s="267">
        <f>32533625+84625</f>
        <v>32618250</v>
      </c>
      <c r="AE194" s="267"/>
      <c r="AF194" s="267"/>
      <c r="AG194" s="267"/>
      <c r="AH194" s="267"/>
      <c r="AI194" s="267"/>
      <c r="AJ194" s="267"/>
      <c r="AK194" s="267"/>
      <c r="AL194" s="267"/>
    </row>
    <row r="195" spans="1:38" s="268" customFormat="1" ht="36.75" customHeight="1">
      <c r="A195" s="384">
        <v>7</v>
      </c>
      <c r="B195" s="385" t="s">
        <v>19</v>
      </c>
      <c r="C195" s="385" t="s">
        <v>22</v>
      </c>
      <c r="D195" s="307">
        <v>2</v>
      </c>
      <c r="E195" s="306" t="s">
        <v>54</v>
      </c>
      <c r="F195" s="306" t="s">
        <v>30</v>
      </c>
      <c r="G195" s="307">
        <v>5</v>
      </c>
      <c r="H195" s="307">
        <v>1</v>
      </c>
      <c r="I195" s="306" t="s">
        <v>22</v>
      </c>
      <c r="J195" s="314" t="s">
        <v>19</v>
      </c>
      <c r="K195" s="314" t="s">
        <v>19</v>
      </c>
      <c r="L195" s="314" t="s">
        <v>128</v>
      </c>
      <c r="M195" s="326">
        <v>6</v>
      </c>
      <c r="N195" s="309" t="s">
        <v>286</v>
      </c>
      <c r="O195" s="310">
        <v>4200000</v>
      </c>
      <c r="P195" s="311"/>
      <c r="Q195" s="311"/>
      <c r="R195" s="311"/>
      <c r="S195" s="311"/>
      <c r="T195" s="311"/>
      <c r="U195" s="311"/>
      <c r="V195" s="311">
        <f>'[1]SPJ FUNGSIONAL '!$X$195</f>
        <v>4200000</v>
      </c>
      <c r="W195" s="311"/>
      <c r="X195" s="311">
        <f t="shared" si="111"/>
        <v>4200000</v>
      </c>
      <c r="Y195" s="311">
        <f t="shared" ref="Y195" si="114">R195+U195+X195</f>
        <v>4200000</v>
      </c>
      <c r="Z195" s="310">
        <f t="shared" ref="Z195" si="115">O195-Y195</f>
        <v>0</v>
      </c>
      <c r="AA195" s="267"/>
      <c r="AB195" s="267"/>
      <c r="AC195" s="267"/>
      <c r="AD195" s="267"/>
      <c r="AE195" s="267"/>
      <c r="AF195" s="267"/>
      <c r="AG195" s="267"/>
      <c r="AH195" s="267"/>
      <c r="AI195" s="267"/>
      <c r="AJ195" s="267"/>
      <c r="AK195" s="267"/>
      <c r="AL195" s="267"/>
    </row>
    <row r="196" spans="1:38" s="268" customFormat="1" ht="28.95" customHeight="1">
      <c r="A196" s="379">
        <v>7</v>
      </c>
      <c r="B196" s="380" t="s">
        <v>19</v>
      </c>
      <c r="C196" s="380" t="s">
        <v>22</v>
      </c>
      <c r="D196" s="289">
        <v>2</v>
      </c>
      <c r="E196" s="302" t="s">
        <v>54</v>
      </c>
      <c r="F196" s="302" t="s">
        <v>30</v>
      </c>
      <c r="G196" s="289">
        <v>5</v>
      </c>
      <c r="H196" s="289">
        <v>1</v>
      </c>
      <c r="I196" s="302" t="s">
        <v>22</v>
      </c>
      <c r="J196" s="328" t="s">
        <v>22</v>
      </c>
      <c r="K196" s="315"/>
      <c r="L196" s="315"/>
      <c r="M196" s="326"/>
      <c r="N196" s="323" t="s">
        <v>75</v>
      </c>
      <c r="O196" s="317">
        <f>O197</f>
        <v>1519800000</v>
      </c>
      <c r="P196" s="304">
        <f>P197+P205+P209</f>
        <v>0</v>
      </c>
      <c r="Q196" s="304">
        <f>Q197+Q205+Q209</f>
        <v>0</v>
      </c>
      <c r="R196" s="304">
        <f t="shared" si="107"/>
        <v>0</v>
      </c>
      <c r="S196" s="304">
        <f>S197+S205+S209</f>
        <v>0</v>
      </c>
      <c r="T196" s="304">
        <f>T197+T205+T209</f>
        <v>0</v>
      </c>
      <c r="U196" s="304">
        <f t="shared" si="103"/>
        <v>0</v>
      </c>
      <c r="V196" s="304">
        <f>V197+V205+V209</f>
        <v>1289847250</v>
      </c>
      <c r="W196" s="304">
        <f>W197+W205+W209</f>
        <v>316875000</v>
      </c>
      <c r="X196" s="304">
        <f t="shared" si="104"/>
        <v>1606722250</v>
      </c>
      <c r="Y196" s="304">
        <f t="shared" si="105"/>
        <v>1606722250</v>
      </c>
      <c r="Z196" s="317">
        <f t="shared" si="106"/>
        <v>-86922250</v>
      </c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</row>
    <row r="197" spans="1:38" s="268" customFormat="1" ht="28.95" customHeight="1">
      <c r="A197" s="379">
        <v>7</v>
      </c>
      <c r="B197" s="380" t="s">
        <v>19</v>
      </c>
      <c r="C197" s="380" t="s">
        <v>22</v>
      </c>
      <c r="D197" s="289">
        <v>2</v>
      </c>
      <c r="E197" s="302" t="s">
        <v>54</v>
      </c>
      <c r="F197" s="302" t="s">
        <v>30</v>
      </c>
      <c r="G197" s="289">
        <v>5</v>
      </c>
      <c r="H197" s="289">
        <v>1</v>
      </c>
      <c r="I197" s="302" t="s">
        <v>22</v>
      </c>
      <c r="J197" s="328" t="s">
        <v>22</v>
      </c>
      <c r="K197" s="328" t="s">
        <v>19</v>
      </c>
      <c r="L197" s="315"/>
      <c r="M197" s="326"/>
      <c r="N197" s="323" t="s">
        <v>114</v>
      </c>
      <c r="O197" s="317">
        <f>SUM(O198:O204)</f>
        <v>1519800000</v>
      </c>
      <c r="P197" s="304">
        <f>P198+P201</f>
        <v>0</v>
      </c>
      <c r="Q197" s="304">
        <f>Q198+Q201</f>
        <v>0</v>
      </c>
      <c r="R197" s="304">
        <f t="shared" si="107"/>
        <v>0</v>
      </c>
      <c r="S197" s="304">
        <f>S198+S201</f>
        <v>0</v>
      </c>
      <c r="T197" s="304">
        <f>T198+T201</f>
        <v>0</v>
      </c>
      <c r="U197" s="304">
        <f t="shared" si="103"/>
        <v>0</v>
      </c>
      <c r="V197" s="317">
        <f>SUM(V198:V204)</f>
        <v>1210400000</v>
      </c>
      <c r="W197" s="317">
        <f>SUM(W198:W204)</f>
        <v>284500000</v>
      </c>
      <c r="X197" s="304">
        <f t="shared" si="104"/>
        <v>1494900000</v>
      </c>
      <c r="Y197" s="304">
        <f t="shared" si="105"/>
        <v>1494900000</v>
      </c>
      <c r="Z197" s="317">
        <f t="shared" si="106"/>
        <v>24900000</v>
      </c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</row>
    <row r="198" spans="1:38" s="268" customFormat="1" ht="42" customHeight="1">
      <c r="A198" s="384">
        <v>7</v>
      </c>
      <c r="B198" s="385" t="s">
        <v>19</v>
      </c>
      <c r="C198" s="385" t="s">
        <v>22</v>
      </c>
      <c r="D198" s="307">
        <v>2</v>
      </c>
      <c r="E198" s="306" t="s">
        <v>54</v>
      </c>
      <c r="F198" s="306" t="s">
        <v>30</v>
      </c>
      <c r="G198" s="307">
        <v>5</v>
      </c>
      <c r="H198" s="307">
        <v>1</v>
      </c>
      <c r="I198" s="306" t="s">
        <v>22</v>
      </c>
      <c r="J198" s="314" t="s">
        <v>22</v>
      </c>
      <c r="K198" s="314" t="s">
        <v>19</v>
      </c>
      <c r="L198" s="314" t="s">
        <v>27</v>
      </c>
      <c r="M198" s="342" t="s">
        <v>86</v>
      </c>
      <c r="N198" s="318" t="s">
        <v>115</v>
      </c>
      <c r="O198" s="319">
        <v>14400000</v>
      </c>
      <c r="P198" s="311"/>
      <c r="Q198" s="311"/>
      <c r="R198" s="311">
        <f t="shared" si="107"/>
        <v>0</v>
      </c>
      <c r="S198" s="311"/>
      <c r="T198" s="311"/>
      <c r="U198" s="311">
        <f t="shared" si="103"/>
        <v>0</v>
      </c>
      <c r="V198" s="311">
        <f>'[7]SPJ FUNGSIONAL '!$X$197</f>
        <v>14400000</v>
      </c>
      <c r="W198" s="311"/>
      <c r="X198" s="311">
        <f t="shared" si="104"/>
        <v>14400000</v>
      </c>
      <c r="Y198" s="311">
        <f t="shared" si="105"/>
        <v>14400000</v>
      </c>
      <c r="Z198" s="310">
        <f t="shared" si="106"/>
        <v>0</v>
      </c>
      <c r="AA198" s="391"/>
      <c r="AB198" s="267"/>
      <c r="AC198" s="267"/>
      <c r="AD198" s="267"/>
      <c r="AE198" s="267"/>
      <c r="AF198" s="267"/>
      <c r="AG198" s="267"/>
      <c r="AH198" s="267"/>
      <c r="AI198" s="267"/>
      <c r="AJ198" s="267"/>
      <c r="AK198" s="267"/>
      <c r="AL198" s="267"/>
    </row>
    <row r="199" spans="1:38" s="268" customFormat="1" ht="42" customHeight="1">
      <c r="A199" s="384">
        <v>7</v>
      </c>
      <c r="B199" s="385" t="s">
        <v>19</v>
      </c>
      <c r="C199" s="385" t="s">
        <v>22</v>
      </c>
      <c r="D199" s="307">
        <v>2</v>
      </c>
      <c r="E199" s="306" t="s">
        <v>54</v>
      </c>
      <c r="F199" s="306" t="s">
        <v>30</v>
      </c>
      <c r="G199" s="307">
        <v>5</v>
      </c>
      <c r="H199" s="307">
        <v>1</v>
      </c>
      <c r="I199" s="306" t="s">
        <v>22</v>
      </c>
      <c r="J199" s="314" t="s">
        <v>22</v>
      </c>
      <c r="K199" s="314" t="s">
        <v>19</v>
      </c>
      <c r="L199" s="314" t="s">
        <v>27</v>
      </c>
      <c r="M199" s="342">
        <v>6</v>
      </c>
      <c r="N199" s="318" t="s">
        <v>138</v>
      </c>
      <c r="O199" s="319">
        <v>44700000</v>
      </c>
      <c r="P199" s="311"/>
      <c r="Q199" s="311"/>
      <c r="R199" s="311"/>
      <c r="S199" s="311"/>
      <c r="T199" s="311"/>
      <c r="U199" s="311"/>
      <c r="V199" s="311">
        <f>'[3]SPJ FUNGSIONAL '!$X$198</f>
        <v>16750000</v>
      </c>
      <c r="W199" s="311">
        <v>27550000</v>
      </c>
      <c r="X199" s="311">
        <f t="shared" ref="X199" si="116">V199+W199</f>
        <v>44300000</v>
      </c>
      <c r="Y199" s="311">
        <f t="shared" ref="Y199" si="117">R199+U199+X199</f>
        <v>44300000</v>
      </c>
      <c r="Z199" s="310">
        <f t="shared" si="106"/>
        <v>400000</v>
      </c>
      <c r="AA199" s="391"/>
      <c r="AB199" s="267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</row>
    <row r="200" spans="1:38" s="268" customFormat="1" ht="42" customHeight="1">
      <c r="A200" s="384">
        <v>7</v>
      </c>
      <c r="B200" s="385" t="s">
        <v>19</v>
      </c>
      <c r="C200" s="385" t="s">
        <v>22</v>
      </c>
      <c r="D200" s="307">
        <v>2</v>
      </c>
      <c r="E200" s="306" t="s">
        <v>54</v>
      </c>
      <c r="F200" s="306" t="s">
        <v>30</v>
      </c>
      <c r="G200" s="307">
        <v>5</v>
      </c>
      <c r="H200" s="307">
        <v>1</v>
      </c>
      <c r="I200" s="306" t="s">
        <v>22</v>
      </c>
      <c r="J200" s="314" t="s">
        <v>22</v>
      </c>
      <c r="K200" s="314" t="s">
        <v>19</v>
      </c>
      <c r="L200" s="314" t="s">
        <v>56</v>
      </c>
      <c r="M200" s="342">
        <v>0</v>
      </c>
      <c r="N200" s="318" t="s">
        <v>203</v>
      </c>
      <c r="O200" s="319">
        <v>1427000000</v>
      </c>
      <c r="P200" s="311"/>
      <c r="Q200" s="311"/>
      <c r="R200" s="311">
        <f>P200+Q200</f>
        <v>0</v>
      </c>
      <c r="S200" s="311"/>
      <c r="T200" s="311"/>
      <c r="U200" s="311">
        <f>S200+T200</f>
        <v>0</v>
      </c>
      <c r="V200" s="311">
        <f>'[1]SPJ FUNGSIONAL '!$X$200</f>
        <v>1158800000</v>
      </c>
      <c r="W200" s="311">
        <v>247950000</v>
      </c>
      <c r="X200" s="311">
        <f>V200+W200</f>
        <v>1406750000</v>
      </c>
      <c r="Y200" s="311">
        <f>R200+U200+X200</f>
        <v>1406750000</v>
      </c>
      <c r="Z200" s="310">
        <f t="shared" si="106"/>
        <v>20250000</v>
      </c>
      <c r="AA200" s="391"/>
      <c r="AB200" s="267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</row>
    <row r="201" spans="1:38" s="268" customFormat="1" ht="31.2" customHeight="1">
      <c r="A201" s="384">
        <v>7</v>
      </c>
      <c r="B201" s="385" t="s">
        <v>19</v>
      </c>
      <c r="C201" s="385" t="s">
        <v>22</v>
      </c>
      <c r="D201" s="307">
        <v>2</v>
      </c>
      <c r="E201" s="306" t="s">
        <v>54</v>
      </c>
      <c r="F201" s="306" t="s">
        <v>30</v>
      </c>
      <c r="G201" s="307">
        <v>5</v>
      </c>
      <c r="H201" s="307">
        <v>1</v>
      </c>
      <c r="I201" s="306" t="s">
        <v>22</v>
      </c>
      <c r="J201" s="314" t="s">
        <v>22</v>
      </c>
      <c r="K201" s="314" t="s">
        <v>19</v>
      </c>
      <c r="L201" s="314" t="s">
        <v>52</v>
      </c>
      <c r="M201" s="326">
        <v>7</v>
      </c>
      <c r="N201" s="309" t="s">
        <v>116</v>
      </c>
      <c r="O201" s="319">
        <v>26250000</v>
      </c>
      <c r="P201" s="311"/>
      <c r="Q201" s="311"/>
      <c r="R201" s="311">
        <f t="shared" si="107"/>
        <v>0</v>
      </c>
      <c r="S201" s="311"/>
      <c r="T201" s="311"/>
      <c r="U201" s="311">
        <f t="shared" si="103"/>
        <v>0</v>
      </c>
      <c r="V201" s="311">
        <f>'[2]SPJ FUNGSIONAL '!$X$200</f>
        <v>17250000</v>
      </c>
      <c r="W201" s="311">
        <v>9000000</v>
      </c>
      <c r="X201" s="311">
        <f t="shared" si="104"/>
        <v>26250000</v>
      </c>
      <c r="Y201" s="311">
        <f t="shared" si="105"/>
        <v>26250000</v>
      </c>
      <c r="Z201" s="310">
        <f t="shared" si="106"/>
        <v>0</v>
      </c>
      <c r="AA201" s="391"/>
      <c r="AB201" s="267"/>
      <c r="AC201" s="267"/>
      <c r="AD201" s="267"/>
      <c r="AE201" s="267"/>
      <c r="AF201" s="267"/>
      <c r="AG201" s="267"/>
      <c r="AH201" s="267"/>
      <c r="AI201" s="267"/>
      <c r="AJ201" s="267"/>
      <c r="AK201" s="267"/>
      <c r="AL201" s="267"/>
    </row>
    <row r="202" spans="1:38" s="268" customFormat="1" ht="31.2" customHeight="1">
      <c r="A202" s="384">
        <v>7</v>
      </c>
      <c r="B202" s="385" t="s">
        <v>19</v>
      </c>
      <c r="C202" s="385" t="s">
        <v>22</v>
      </c>
      <c r="D202" s="307">
        <v>2</v>
      </c>
      <c r="E202" s="306" t="s">
        <v>54</v>
      </c>
      <c r="F202" s="306" t="s">
        <v>30</v>
      </c>
      <c r="G202" s="307">
        <v>5</v>
      </c>
      <c r="H202" s="307">
        <v>1</v>
      </c>
      <c r="I202" s="306" t="s">
        <v>22</v>
      </c>
      <c r="J202" s="314" t="s">
        <v>22</v>
      </c>
      <c r="K202" s="314" t="s">
        <v>54</v>
      </c>
      <c r="L202" s="314" t="s">
        <v>52</v>
      </c>
      <c r="M202" s="326">
        <v>6</v>
      </c>
      <c r="N202" s="309" t="s">
        <v>261</v>
      </c>
      <c r="O202" s="319">
        <v>5500000</v>
      </c>
      <c r="P202" s="311"/>
      <c r="Q202" s="311"/>
      <c r="R202" s="311"/>
      <c r="S202" s="311"/>
      <c r="T202" s="311"/>
      <c r="U202" s="311"/>
      <c r="V202" s="311">
        <f>'[3]SPJ FUNGSIONAL '!$X$201</f>
        <v>3200000</v>
      </c>
      <c r="W202" s="311"/>
      <c r="X202" s="311">
        <f t="shared" ref="X202" si="118">V202+W202</f>
        <v>3200000</v>
      </c>
      <c r="Y202" s="311">
        <f t="shared" ref="Y202" si="119">R202+U202+X202</f>
        <v>3200000</v>
      </c>
      <c r="Z202" s="310">
        <f t="shared" si="106"/>
        <v>2300000</v>
      </c>
      <c r="AA202" s="391"/>
      <c r="AB202" s="267"/>
      <c r="AC202" s="267"/>
      <c r="AD202" s="267"/>
      <c r="AE202" s="267"/>
      <c r="AF202" s="267"/>
      <c r="AG202" s="267"/>
      <c r="AH202" s="267"/>
      <c r="AI202" s="267"/>
      <c r="AJ202" s="267"/>
      <c r="AK202" s="267"/>
      <c r="AL202" s="267"/>
    </row>
    <row r="203" spans="1:38" s="268" customFormat="1" ht="31.2" customHeight="1">
      <c r="A203" s="384">
        <v>7</v>
      </c>
      <c r="B203" s="385" t="s">
        <v>19</v>
      </c>
      <c r="C203" s="385" t="s">
        <v>22</v>
      </c>
      <c r="D203" s="307">
        <v>2</v>
      </c>
      <c r="E203" s="306" t="s">
        <v>54</v>
      </c>
      <c r="F203" s="306" t="s">
        <v>30</v>
      </c>
      <c r="G203" s="307">
        <v>5</v>
      </c>
      <c r="H203" s="307">
        <v>1</v>
      </c>
      <c r="I203" s="306" t="s">
        <v>22</v>
      </c>
      <c r="J203" s="314" t="s">
        <v>22</v>
      </c>
      <c r="K203" s="314" t="s">
        <v>54</v>
      </c>
      <c r="L203" s="314" t="s">
        <v>100</v>
      </c>
      <c r="M203" s="326">
        <v>7</v>
      </c>
      <c r="N203" s="309" t="s">
        <v>207</v>
      </c>
      <c r="O203" s="319">
        <v>1950000</v>
      </c>
      <c r="P203" s="311"/>
      <c r="Q203" s="311"/>
      <c r="R203" s="311"/>
      <c r="S203" s="311"/>
      <c r="T203" s="311"/>
      <c r="U203" s="311"/>
      <c r="V203" s="311"/>
      <c r="W203" s="311"/>
      <c r="X203" s="311"/>
      <c r="Y203" s="311"/>
      <c r="Z203" s="310">
        <f t="shared" si="106"/>
        <v>1950000</v>
      </c>
      <c r="AA203" s="391"/>
      <c r="AB203" s="267"/>
      <c r="AC203" s="267"/>
      <c r="AD203" s="267"/>
      <c r="AE203" s="267"/>
      <c r="AF203" s="267"/>
      <c r="AG203" s="267"/>
      <c r="AH203" s="267"/>
      <c r="AI203" s="267"/>
      <c r="AJ203" s="267"/>
      <c r="AK203" s="267"/>
      <c r="AL203" s="267"/>
    </row>
    <row r="204" spans="1:38" s="268" customFormat="1" ht="42" customHeight="1">
      <c r="A204" s="384">
        <v>7</v>
      </c>
      <c r="B204" s="385" t="s">
        <v>19</v>
      </c>
      <c r="C204" s="385" t="s">
        <v>22</v>
      </c>
      <c r="D204" s="307">
        <v>2</v>
      </c>
      <c r="E204" s="306" t="s">
        <v>54</v>
      </c>
      <c r="F204" s="306" t="s">
        <v>30</v>
      </c>
      <c r="G204" s="307">
        <v>5</v>
      </c>
      <c r="H204" s="307">
        <v>1</v>
      </c>
      <c r="I204" s="306" t="s">
        <v>22</v>
      </c>
      <c r="J204" s="314" t="s">
        <v>22</v>
      </c>
      <c r="K204" s="314" t="s">
        <v>32</v>
      </c>
      <c r="L204" s="314" t="s">
        <v>205</v>
      </c>
      <c r="M204" s="326">
        <v>1</v>
      </c>
      <c r="N204" s="318" t="s">
        <v>206</v>
      </c>
      <c r="O204" s="319">
        <v>0</v>
      </c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0">
        <f t="shared" si="106"/>
        <v>0</v>
      </c>
      <c r="AA204" s="391"/>
      <c r="AB204" s="267"/>
      <c r="AC204" s="267"/>
      <c r="AD204" s="267"/>
      <c r="AE204" s="267"/>
      <c r="AF204" s="267"/>
      <c r="AG204" s="267"/>
      <c r="AH204" s="267"/>
      <c r="AI204" s="267"/>
      <c r="AJ204" s="267"/>
      <c r="AK204" s="267"/>
      <c r="AL204" s="267"/>
    </row>
    <row r="205" spans="1:38" s="268" customFormat="1" ht="31.2" customHeight="1">
      <c r="A205" s="379">
        <v>7</v>
      </c>
      <c r="B205" s="380" t="s">
        <v>19</v>
      </c>
      <c r="C205" s="380" t="s">
        <v>22</v>
      </c>
      <c r="D205" s="289">
        <v>2</v>
      </c>
      <c r="E205" s="302" t="s">
        <v>54</v>
      </c>
      <c r="F205" s="302" t="s">
        <v>30</v>
      </c>
      <c r="G205" s="289">
        <v>5</v>
      </c>
      <c r="H205" s="289">
        <v>1</v>
      </c>
      <c r="I205" s="302" t="s">
        <v>22</v>
      </c>
      <c r="J205" s="328" t="s">
        <v>54</v>
      </c>
      <c r="K205" s="329"/>
      <c r="L205" s="315"/>
      <c r="M205" s="326"/>
      <c r="N205" s="323" t="s">
        <v>68</v>
      </c>
      <c r="O205" s="392">
        <f>O206</f>
        <v>121302750</v>
      </c>
      <c r="P205" s="304">
        <f>P206</f>
        <v>0</v>
      </c>
      <c r="Q205" s="304">
        <f>Q206</f>
        <v>0</v>
      </c>
      <c r="R205" s="304">
        <f t="shared" si="107"/>
        <v>0</v>
      </c>
      <c r="S205" s="304">
        <f>S206</f>
        <v>0</v>
      </c>
      <c r="T205" s="304">
        <f>T206</f>
        <v>0</v>
      </c>
      <c r="U205" s="304">
        <f t="shared" si="103"/>
        <v>0</v>
      </c>
      <c r="V205" s="304">
        <f>V206</f>
        <v>69447250</v>
      </c>
      <c r="W205" s="304">
        <f>W206</f>
        <v>28375000</v>
      </c>
      <c r="X205" s="304">
        <f t="shared" si="104"/>
        <v>97822250</v>
      </c>
      <c r="Y205" s="304">
        <f t="shared" si="105"/>
        <v>97822250</v>
      </c>
      <c r="Z205" s="317">
        <f t="shared" si="106"/>
        <v>23480500</v>
      </c>
      <c r="AA205" s="393"/>
      <c r="AB205" s="267"/>
      <c r="AC205" s="267"/>
      <c r="AD205" s="267"/>
      <c r="AE205" s="267"/>
      <c r="AF205" s="267"/>
      <c r="AG205" s="267"/>
      <c r="AH205" s="267"/>
      <c r="AI205" s="267"/>
      <c r="AJ205" s="267"/>
      <c r="AK205" s="267"/>
      <c r="AL205" s="267"/>
    </row>
    <row r="206" spans="1:38" s="268" customFormat="1" ht="31.2" customHeight="1">
      <c r="A206" s="379">
        <v>7</v>
      </c>
      <c r="B206" s="380" t="s">
        <v>19</v>
      </c>
      <c r="C206" s="380" t="s">
        <v>22</v>
      </c>
      <c r="D206" s="289">
        <v>2</v>
      </c>
      <c r="E206" s="302" t="s">
        <v>54</v>
      </c>
      <c r="F206" s="302" t="s">
        <v>30</v>
      </c>
      <c r="G206" s="289">
        <v>5</v>
      </c>
      <c r="H206" s="289">
        <v>1</v>
      </c>
      <c r="I206" s="302" t="s">
        <v>22</v>
      </c>
      <c r="J206" s="328" t="s">
        <v>54</v>
      </c>
      <c r="K206" s="328" t="s">
        <v>19</v>
      </c>
      <c r="L206" s="329"/>
      <c r="M206" s="326"/>
      <c r="N206" s="323" t="s">
        <v>69</v>
      </c>
      <c r="O206" s="392">
        <f>O207+O208</f>
        <v>121302750</v>
      </c>
      <c r="P206" s="304">
        <f>P207+P208</f>
        <v>0</v>
      </c>
      <c r="Q206" s="304">
        <f>Q207+Q208</f>
        <v>0</v>
      </c>
      <c r="R206" s="304">
        <f t="shared" si="107"/>
        <v>0</v>
      </c>
      <c r="S206" s="304">
        <f>S207+S208</f>
        <v>0</v>
      </c>
      <c r="T206" s="304">
        <f>T207+T208</f>
        <v>0</v>
      </c>
      <c r="U206" s="304">
        <f t="shared" si="103"/>
        <v>0</v>
      </c>
      <c r="V206" s="304">
        <f>V207+V208</f>
        <v>69447250</v>
      </c>
      <c r="W206" s="304">
        <f>W207+W208</f>
        <v>28375000</v>
      </c>
      <c r="X206" s="304">
        <f t="shared" si="104"/>
        <v>97822250</v>
      </c>
      <c r="Y206" s="304">
        <f t="shared" si="105"/>
        <v>97822250</v>
      </c>
      <c r="Z206" s="317">
        <f t="shared" si="106"/>
        <v>23480500</v>
      </c>
      <c r="AA206" s="393"/>
      <c r="AB206" s="267"/>
      <c r="AC206" s="267"/>
      <c r="AD206" s="267"/>
      <c r="AE206" s="267"/>
      <c r="AF206" s="267"/>
      <c r="AG206" s="267"/>
      <c r="AH206" s="267"/>
      <c r="AI206" s="267"/>
      <c r="AJ206" s="267"/>
      <c r="AK206" s="267"/>
      <c r="AL206" s="267"/>
    </row>
    <row r="207" spans="1:38" s="268" customFormat="1" ht="31.2" customHeight="1">
      <c r="A207" s="384">
        <v>7</v>
      </c>
      <c r="B207" s="385" t="s">
        <v>19</v>
      </c>
      <c r="C207" s="385" t="s">
        <v>22</v>
      </c>
      <c r="D207" s="307">
        <v>2</v>
      </c>
      <c r="E207" s="306" t="s">
        <v>54</v>
      </c>
      <c r="F207" s="306" t="s">
        <v>30</v>
      </c>
      <c r="G207" s="307">
        <v>5</v>
      </c>
      <c r="H207" s="307">
        <v>1</v>
      </c>
      <c r="I207" s="306" t="s">
        <v>22</v>
      </c>
      <c r="J207" s="314" t="s">
        <v>54</v>
      </c>
      <c r="K207" s="314" t="s">
        <v>19</v>
      </c>
      <c r="L207" s="314" t="s">
        <v>27</v>
      </c>
      <c r="M207" s="342" t="s">
        <v>10</v>
      </c>
      <c r="N207" s="309" t="s">
        <v>70</v>
      </c>
      <c r="O207" s="319">
        <v>5402750</v>
      </c>
      <c r="P207" s="311"/>
      <c r="Q207" s="311"/>
      <c r="R207" s="311">
        <f t="shared" si="107"/>
        <v>0</v>
      </c>
      <c r="S207" s="311"/>
      <c r="T207" s="311"/>
      <c r="U207" s="311">
        <f t="shared" si="103"/>
        <v>0</v>
      </c>
      <c r="V207" s="311">
        <f>'[1]SPJ FUNGSIONAL '!$X$207</f>
        <v>4897250</v>
      </c>
      <c r="W207" s="311">
        <v>125000</v>
      </c>
      <c r="X207" s="311">
        <f t="shared" si="104"/>
        <v>5022250</v>
      </c>
      <c r="Y207" s="311">
        <f t="shared" si="105"/>
        <v>5022250</v>
      </c>
      <c r="Z207" s="310">
        <f t="shared" si="106"/>
        <v>380500</v>
      </c>
      <c r="AA207" s="393"/>
      <c r="AB207" s="267"/>
      <c r="AC207" s="267"/>
      <c r="AD207" s="267"/>
      <c r="AE207" s="267"/>
      <c r="AF207" s="267"/>
      <c r="AG207" s="267"/>
      <c r="AH207" s="267"/>
      <c r="AI207" s="267"/>
      <c r="AJ207" s="267"/>
      <c r="AK207" s="267"/>
      <c r="AL207" s="267"/>
    </row>
    <row r="208" spans="1:38" s="268" customFormat="1" ht="31.2" customHeight="1">
      <c r="A208" s="384">
        <v>7</v>
      </c>
      <c r="B208" s="385" t="s">
        <v>19</v>
      </c>
      <c r="C208" s="385" t="s">
        <v>22</v>
      </c>
      <c r="D208" s="307">
        <v>2</v>
      </c>
      <c r="E208" s="306" t="s">
        <v>54</v>
      </c>
      <c r="F208" s="306" t="s">
        <v>30</v>
      </c>
      <c r="G208" s="307">
        <v>5</v>
      </c>
      <c r="H208" s="307">
        <v>1</v>
      </c>
      <c r="I208" s="306" t="s">
        <v>22</v>
      </c>
      <c r="J208" s="314" t="s">
        <v>54</v>
      </c>
      <c r="K208" s="314" t="s">
        <v>19</v>
      </c>
      <c r="L208" s="314" t="s">
        <v>27</v>
      </c>
      <c r="M208" s="326">
        <v>3</v>
      </c>
      <c r="N208" s="309" t="s">
        <v>117</v>
      </c>
      <c r="O208" s="319">
        <v>115900000</v>
      </c>
      <c r="P208" s="311"/>
      <c r="Q208" s="311"/>
      <c r="R208" s="311">
        <f t="shared" si="107"/>
        <v>0</v>
      </c>
      <c r="S208" s="311"/>
      <c r="T208" s="311"/>
      <c r="U208" s="311">
        <f t="shared" si="103"/>
        <v>0</v>
      </c>
      <c r="V208" s="311">
        <f>'[1]SPJ FUNGSIONAL '!$X$208</f>
        <v>64550000</v>
      </c>
      <c r="W208" s="311">
        <v>28250000</v>
      </c>
      <c r="X208" s="311">
        <f t="shared" si="104"/>
        <v>92800000</v>
      </c>
      <c r="Y208" s="311">
        <f t="shared" si="105"/>
        <v>92800000</v>
      </c>
      <c r="Z208" s="310">
        <f t="shared" si="106"/>
        <v>23100000</v>
      </c>
      <c r="AA208" s="393"/>
      <c r="AB208" s="267"/>
      <c r="AC208" s="267"/>
      <c r="AD208" s="267"/>
      <c r="AE208" s="267"/>
      <c r="AF208" s="267"/>
      <c r="AG208" s="267"/>
      <c r="AH208" s="267"/>
      <c r="AI208" s="267"/>
      <c r="AJ208" s="267"/>
      <c r="AK208" s="267"/>
      <c r="AL208" s="267"/>
    </row>
    <row r="209" spans="1:38" s="268" customFormat="1" ht="62.25" customHeight="1">
      <c r="A209" s="379">
        <v>7</v>
      </c>
      <c r="B209" s="380" t="s">
        <v>19</v>
      </c>
      <c r="C209" s="380" t="s">
        <v>22</v>
      </c>
      <c r="D209" s="289">
        <v>2</v>
      </c>
      <c r="E209" s="302" t="s">
        <v>54</v>
      </c>
      <c r="F209" s="302" t="s">
        <v>30</v>
      </c>
      <c r="G209" s="289">
        <v>5</v>
      </c>
      <c r="H209" s="289">
        <v>1</v>
      </c>
      <c r="I209" s="302" t="s">
        <v>22</v>
      </c>
      <c r="J209" s="328" t="s">
        <v>32</v>
      </c>
      <c r="K209" s="329"/>
      <c r="L209" s="315"/>
      <c r="M209" s="326"/>
      <c r="N209" s="316" t="s">
        <v>118</v>
      </c>
      <c r="O209" s="392">
        <f t="shared" ref="O209:Q210" si="120">O210</f>
        <v>14000000</v>
      </c>
      <c r="P209" s="304">
        <f t="shared" si="120"/>
        <v>0</v>
      </c>
      <c r="Q209" s="304">
        <f t="shared" si="120"/>
        <v>0</v>
      </c>
      <c r="R209" s="304">
        <f t="shared" si="107"/>
        <v>0</v>
      </c>
      <c r="S209" s="304">
        <f>S210</f>
        <v>0</v>
      </c>
      <c r="T209" s="304">
        <f>T210</f>
        <v>0</v>
      </c>
      <c r="U209" s="304">
        <f t="shared" si="103"/>
        <v>0</v>
      </c>
      <c r="V209" s="304">
        <f>V210</f>
        <v>10000000</v>
      </c>
      <c r="W209" s="304">
        <f>W210</f>
        <v>4000000</v>
      </c>
      <c r="X209" s="304">
        <f t="shared" si="104"/>
        <v>14000000</v>
      </c>
      <c r="Y209" s="304">
        <f t="shared" si="105"/>
        <v>14000000</v>
      </c>
      <c r="Z209" s="317">
        <f t="shared" si="106"/>
        <v>0</v>
      </c>
      <c r="AA209" s="393"/>
      <c r="AB209" s="267"/>
      <c r="AC209" s="267"/>
      <c r="AD209" s="267"/>
      <c r="AE209" s="267"/>
      <c r="AF209" s="267"/>
      <c r="AG209" s="267"/>
      <c r="AH209" s="267"/>
      <c r="AI209" s="267"/>
      <c r="AJ209" s="267"/>
      <c r="AK209" s="267"/>
      <c r="AL209" s="267"/>
    </row>
    <row r="210" spans="1:38" s="268" customFormat="1" ht="40.200000000000003" customHeight="1">
      <c r="A210" s="379">
        <v>7</v>
      </c>
      <c r="B210" s="380" t="s">
        <v>19</v>
      </c>
      <c r="C210" s="380" t="s">
        <v>22</v>
      </c>
      <c r="D210" s="289">
        <v>2</v>
      </c>
      <c r="E210" s="302" t="s">
        <v>54</v>
      </c>
      <c r="F210" s="302" t="s">
        <v>30</v>
      </c>
      <c r="G210" s="289">
        <v>5</v>
      </c>
      <c r="H210" s="289">
        <v>1</v>
      </c>
      <c r="I210" s="302" t="s">
        <v>22</v>
      </c>
      <c r="J210" s="328" t="s">
        <v>32</v>
      </c>
      <c r="K210" s="328" t="s">
        <v>19</v>
      </c>
      <c r="L210" s="315"/>
      <c r="M210" s="326"/>
      <c r="N210" s="316" t="s">
        <v>119</v>
      </c>
      <c r="O210" s="392">
        <f t="shared" si="120"/>
        <v>14000000</v>
      </c>
      <c r="P210" s="304">
        <f t="shared" si="120"/>
        <v>0</v>
      </c>
      <c r="Q210" s="304">
        <f t="shared" si="120"/>
        <v>0</v>
      </c>
      <c r="R210" s="304">
        <f t="shared" si="107"/>
        <v>0</v>
      </c>
      <c r="S210" s="304">
        <f>S211</f>
        <v>0</v>
      </c>
      <c r="T210" s="304">
        <f>T211</f>
        <v>0</v>
      </c>
      <c r="U210" s="304">
        <f t="shared" si="103"/>
        <v>0</v>
      </c>
      <c r="V210" s="304">
        <f>V211</f>
        <v>10000000</v>
      </c>
      <c r="W210" s="304">
        <f>W211</f>
        <v>4000000</v>
      </c>
      <c r="X210" s="304">
        <f t="shared" si="104"/>
        <v>14000000</v>
      </c>
      <c r="Y210" s="304">
        <f t="shared" si="105"/>
        <v>14000000</v>
      </c>
      <c r="Z210" s="317">
        <f t="shared" si="106"/>
        <v>0</v>
      </c>
      <c r="AA210" s="393"/>
      <c r="AB210" s="267"/>
      <c r="AC210" s="267"/>
      <c r="AD210" s="267"/>
      <c r="AE210" s="267"/>
      <c r="AF210" s="267"/>
      <c r="AG210" s="267"/>
      <c r="AH210" s="267"/>
      <c r="AI210" s="267"/>
      <c r="AJ210" s="267"/>
      <c r="AK210" s="267"/>
      <c r="AL210" s="267"/>
    </row>
    <row r="211" spans="1:38" s="268" customFormat="1" ht="33.65" customHeight="1">
      <c r="A211" s="384">
        <v>7</v>
      </c>
      <c r="B211" s="385" t="s">
        <v>19</v>
      </c>
      <c r="C211" s="385" t="s">
        <v>22</v>
      </c>
      <c r="D211" s="307">
        <v>2</v>
      </c>
      <c r="E211" s="306" t="s">
        <v>54</v>
      </c>
      <c r="F211" s="306" t="s">
        <v>30</v>
      </c>
      <c r="G211" s="307">
        <v>5</v>
      </c>
      <c r="H211" s="307">
        <v>1</v>
      </c>
      <c r="I211" s="306" t="s">
        <v>22</v>
      </c>
      <c r="J211" s="314" t="s">
        <v>32</v>
      </c>
      <c r="K211" s="314" t="s">
        <v>19</v>
      </c>
      <c r="L211" s="314" t="s">
        <v>27</v>
      </c>
      <c r="M211" s="342" t="s">
        <v>10</v>
      </c>
      <c r="N211" s="309" t="s">
        <v>120</v>
      </c>
      <c r="O211" s="319">
        <v>14000000</v>
      </c>
      <c r="P211" s="311"/>
      <c r="Q211" s="311"/>
      <c r="R211" s="311">
        <f t="shared" si="107"/>
        <v>0</v>
      </c>
      <c r="S211" s="311"/>
      <c r="T211" s="311"/>
      <c r="U211" s="311">
        <f t="shared" si="103"/>
        <v>0</v>
      </c>
      <c r="V211" s="311">
        <f>'[2]SPJ FUNGSIONAL '!$X$210</f>
        <v>10000000</v>
      </c>
      <c r="W211" s="311">
        <v>4000000</v>
      </c>
      <c r="X211" s="311">
        <f t="shared" si="104"/>
        <v>14000000</v>
      </c>
      <c r="Y211" s="311">
        <f t="shared" si="105"/>
        <v>14000000</v>
      </c>
      <c r="Z211" s="310">
        <f t="shared" si="106"/>
        <v>0</v>
      </c>
      <c r="AA211" s="393"/>
      <c r="AB211" s="267"/>
      <c r="AC211" s="267"/>
      <c r="AD211" s="267"/>
      <c r="AE211" s="267"/>
      <c r="AF211" s="267"/>
      <c r="AG211" s="267"/>
      <c r="AH211" s="267"/>
      <c r="AI211" s="267"/>
      <c r="AJ211" s="267"/>
      <c r="AK211" s="267"/>
      <c r="AL211" s="267"/>
    </row>
    <row r="212" spans="1:38" s="268" customFormat="1" ht="25" customHeight="1">
      <c r="A212" s="384"/>
      <c r="B212" s="394"/>
      <c r="C212" s="394"/>
      <c r="D212" s="307"/>
      <c r="E212" s="307"/>
      <c r="F212" s="307"/>
      <c r="G212" s="307"/>
      <c r="H212" s="307"/>
      <c r="I212" s="307"/>
      <c r="J212" s="315"/>
      <c r="K212" s="315"/>
      <c r="L212" s="315"/>
      <c r="M212" s="326"/>
      <c r="N212" s="309"/>
      <c r="O212" s="319"/>
      <c r="P212" s="311"/>
      <c r="Q212" s="311"/>
      <c r="R212" s="311"/>
      <c r="S212" s="311"/>
      <c r="T212" s="311"/>
      <c r="U212" s="311"/>
      <c r="V212" s="311"/>
      <c r="W212" s="311"/>
      <c r="X212" s="311"/>
      <c r="Y212" s="311"/>
      <c r="Z212" s="310"/>
      <c r="AA212" s="393"/>
      <c r="AB212" s="267"/>
      <c r="AC212" s="267"/>
      <c r="AD212" s="267"/>
      <c r="AE212" s="267"/>
      <c r="AF212" s="267"/>
      <c r="AG212" s="267"/>
      <c r="AH212" s="267"/>
      <c r="AI212" s="267"/>
      <c r="AJ212" s="267"/>
      <c r="AK212" s="267"/>
      <c r="AL212" s="267"/>
    </row>
    <row r="213" spans="1:38" s="268" customFormat="1" ht="48" customHeight="1">
      <c r="A213" s="351">
        <v>7</v>
      </c>
      <c r="B213" s="352" t="s">
        <v>19</v>
      </c>
      <c r="C213" s="352" t="s">
        <v>30</v>
      </c>
      <c r="D213" s="353"/>
      <c r="E213" s="353"/>
      <c r="F213" s="353"/>
      <c r="G213" s="353"/>
      <c r="H213" s="353"/>
      <c r="I213" s="353"/>
      <c r="J213" s="353"/>
      <c r="K213" s="353"/>
      <c r="L213" s="353"/>
      <c r="M213" s="354"/>
      <c r="N213" s="355" t="s">
        <v>121</v>
      </c>
      <c r="O213" s="356">
        <f>O215+O267</f>
        <v>2814103200</v>
      </c>
      <c r="P213" s="356">
        <f>P215+P267</f>
        <v>0</v>
      </c>
      <c r="Q213" s="356">
        <f>Q215+Q267</f>
        <v>0</v>
      </c>
      <c r="R213" s="357">
        <f>P213+Q213</f>
        <v>0</v>
      </c>
      <c r="S213" s="356">
        <f>S215+S267</f>
        <v>0</v>
      </c>
      <c r="T213" s="356">
        <f>T215+T267</f>
        <v>0</v>
      </c>
      <c r="U213" s="357">
        <f>S213+T213</f>
        <v>0</v>
      </c>
      <c r="V213" s="356">
        <f>V215+V267</f>
        <v>2267492080</v>
      </c>
      <c r="W213" s="356">
        <f>W215+W267</f>
        <v>484742301</v>
      </c>
      <c r="X213" s="357">
        <f>V213+W213</f>
        <v>2752234381</v>
      </c>
      <c r="Y213" s="359">
        <f>R213+U213+X213</f>
        <v>2752234381</v>
      </c>
      <c r="Z213" s="360">
        <f>O213-Y213</f>
        <v>61868819</v>
      </c>
      <c r="AA213" s="393"/>
      <c r="AB213" s="267"/>
      <c r="AC213" s="267"/>
      <c r="AD213" s="267"/>
      <c r="AE213" s="267"/>
      <c r="AF213" s="267"/>
      <c r="AG213" s="267"/>
      <c r="AH213" s="267"/>
      <c r="AI213" s="267"/>
      <c r="AJ213" s="267"/>
      <c r="AK213" s="267"/>
      <c r="AL213" s="267"/>
    </row>
    <row r="214" spans="1:38" s="268" customFormat="1" ht="9.75" customHeight="1">
      <c r="A214" s="345"/>
      <c r="B214" s="346"/>
      <c r="C214" s="346"/>
      <c r="D214" s="346"/>
      <c r="E214" s="346"/>
      <c r="F214" s="346"/>
      <c r="G214" s="346"/>
      <c r="H214" s="346"/>
      <c r="I214" s="346"/>
      <c r="J214" s="346"/>
      <c r="K214" s="346"/>
      <c r="L214" s="346"/>
      <c r="M214" s="347"/>
      <c r="N214" s="348"/>
      <c r="O214" s="349"/>
      <c r="P214" s="361"/>
      <c r="Q214" s="361"/>
      <c r="R214" s="361"/>
      <c r="S214" s="361"/>
      <c r="T214" s="361"/>
      <c r="U214" s="361"/>
      <c r="V214" s="361"/>
      <c r="W214" s="361"/>
      <c r="X214" s="361"/>
      <c r="Y214" s="275"/>
      <c r="Z214" s="276"/>
      <c r="AA214" s="393"/>
      <c r="AB214" s="267"/>
      <c r="AC214" s="267"/>
      <c r="AD214" s="267"/>
      <c r="AE214" s="267"/>
      <c r="AF214" s="267"/>
      <c r="AG214" s="267"/>
      <c r="AH214" s="267"/>
      <c r="AI214" s="267"/>
      <c r="AJ214" s="267"/>
      <c r="AK214" s="267"/>
      <c r="AL214" s="267"/>
    </row>
    <row r="215" spans="1:38" s="268" customFormat="1" ht="41.25" customHeight="1">
      <c r="A215" s="362">
        <v>7</v>
      </c>
      <c r="B215" s="363" t="s">
        <v>19</v>
      </c>
      <c r="C215" s="363" t="s">
        <v>30</v>
      </c>
      <c r="D215" s="363" t="s">
        <v>64</v>
      </c>
      <c r="E215" s="363" t="s">
        <v>22</v>
      </c>
      <c r="F215" s="364"/>
      <c r="G215" s="364"/>
      <c r="H215" s="364"/>
      <c r="I215" s="364"/>
      <c r="J215" s="364"/>
      <c r="K215" s="364"/>
      <c r="L215" s="364"/>
      <c r="M215" s="386"/>
      <c r="N215" s="283" t="s">
        <v>122</v>
      </c>
      <c r="O215" s="387">
        <f>O217+O235</f>
        <v>645362200</v>
      </c>
      <c r="P215" s="368">
        <f>P237+P261</f>
        <v>0</v>
      </c>
      <c r="Q215" s="368">
        <f>Q237+Q261</f>
        <v>0</v>
      </c>
      <c r="R215" s="368">
        <f>P215+Q215</f>
        <v>0</v>
      </c>
      <c r="S215" s="368">
        <f>S237+S261</f>
        <v>0</v>
      </c>
      <c r="T215" s="368">
        <f>T237+T261</f>
        <v>0</v>
      </c>
      <c r="U215" s="368">
        <f>S215+T215</f>
        <v>0</v>
      </c>
      <c r="V215" s="402">
        <f>V217+V235</f>
        <v>465486830</v>
      </c>
      <c r="W215" s="387">
        <f>W217+W235</f>
        <v>123808551</v>
      </c>
      <c r="X215" s="368">
        <f>V215+W215</f>
        <v>589295381</v>
      </c>
      <c r="Y215" s="286">
        <f>R215+U215+X215</f>
        <v>589295381</v>
      </c>
      <c r="Z215" s="287">
        <f>O215-Y215</f>
        <v>56066819</v>
      </c>
      <c r="AA215" s="393"/>
      <c r="AB215" s="267"/>
      <c r="AC215" s="267"/>
      <c r="AD215" s="267"/>
      <c r="AE215" s="267"/>
      <c r="AF215" s="267"/>
      <c r="AG215" s="267"/>
      <c r="AH215" s="267"/>
      <c r="AI215" s="267"/>
      <c r="AJ215" s="267"/>
      <c r="AK215" s="267"/>
      <c r="AL215" s="267"/>
    </row>
    <row r="216" spans="1:38" s="268" customFormat="1" ht="15" customHeight="1">
      <c r="A216" s="388"/>
      <c r="B216" s="389"/>
      <c r="C216" s="389"/>
      <c r="D216" s="389"/>
      <c r="E216" s="389"/>
      <c r="F216" s="389"/>
      <c r="G216" s="389"/>
      <c r="H216" s="389"/>
      <c r="I216" s="389"/>
      <c r="J216" s="389"/>
      <c r="K216" s="389"/>
      <c r="L216" s="389"/>
      <c r="M216" s="390"/>
      <c r="N216" s="272"/>
      <c r="O216" s="273"/>
      <c r="P216" s="274"/>
      <c r="Q216" s="274"/>
      <c r="R216" s="274"/>
      <c r="S216" s="274"/>
      <c r="T216" s="274"/>
      <c r="U216" s="274"/>
      <c r="V216" s="274"/>
      <c r="W216" s="274"/>
      <c r="X216" s="274"/>
      <c r="Y216" s="303"/>
      <c r="Z216" s="291"/>
      <c r="AA216" s="393"/>
      <c r="AB216" s="267"/>
      <c r="AC216" s="267"/>
      <c r="AD216" s="267"/>
      <c r="AE216" s="267"/>
      <c r="AF216" s="267"/>
      <c r="AG216" s="267"/>
      <c r="AH216" s="267"/>
      <c r="AI216" s="267"/>
      <c r="AJ216" s="267"/>
      <c r="AK216" s="267"/>
      <c r="AL216" s="267"/>
    </row>
    <row r="217" spans="1:38" s="268" customFormat="1" ht="70.5" customHeight="1">
      <c r="A217" s="371">
        <v>7</v>
      </c>
      <c r="B217" s="372" t="s">
        <v>19</v>
      </c>
      <c r="C217" s="372" t="s">
        <v>30</v>
      </c>
      <c r="D217" s="297">
        <v>2</v>
      </c>
      <c r="E217" s="373" t="s">
        <v>22</v>
      </c>
      <c r="F217" s="373" t="s">
        <v>19</v>
      </c>
      <c r="G217" s="375"/>
      <c r="H217" s="375"/>
      <c r="I217" s="375"/>
      <c r="J217" s="375"/>
      <c r="K217" s="375"/>
      <c r="L217" s="375"/>
      <c r="M217" s="376"/>
      <c r="N217" s="321" t="s">
        <v>266</v>
      </c>
      <c r="O217" s="300">
        <f>O218</f>
        <v>121181400</v>
      </c>
      <c r="P217" s="395">
        <f>P218</f>
        <v>0</v>
      </c>
      <c r="Q217" s="301">
        <f>Q218</f>
        <v>0</v>
      </c>
      <c r="R217" s="301">
        <f>P217+Q217</f>
        <v>0</v>
      </c>
      <c r="S217" s="395">
        <f>S218</f>
        <v>0</v>
      </c>
      <c r="T217" s="301">
        <f>T218</f>
        <v>0</v>
      </c>
      <c r="U217" s="301">
        <f t="shared" ref="U217:U231" si="121">S217+T217</f>
        <v>0</v>
      </c>
      <c r="V217" s="300">
        <f>V218</f>
        <v>116954400</v>
      </c>
      <c r="W217" s="300">
        <f t="shared" ref="W217" si="122">W218</f>
        <v>-255000</v>
      </c>
      <c r="X217" s="301">
        <f t="shared" ref="X217:X231" si="123">V217+W217</f>
        <v>116699400</v>
      </c>
      <c r="Y217" s="301">
        <f>R217+U217+X217</f>
        <v>116699400</v>
      </c>
      <c r="Z217" s="300">
        <f>O217-Y217</f>
        <v>4482000</v>
      </c>
      <c r="AA217" s="393"/>
      <c r="AB217" s="267"/>
      <c r="AC217" s="267"/>
      <c r="AD217" s="267"/>
      <c r="AE217" s="267"/>
      <c r="AF217" s="267"/>
      <c r="AG217" s="267"/>
      <c r="AH217" s="267"/>
      <c r="AI217" s="267"/>
      <c r="AJ217" s="267"/>
      <c r="AK217" s="267"/>
      <c r="AL217" s="267"/>
    </row>
    <row r="218" spans="1:38" s="268" customFormat="1" ht="31.2" customHeight="1">
      <c r="A218" s="379">
        <v>7</v>
      </c>
      <c r="B218" s="380" t="s">
        <v>19</v>
      </c>
      <c r="C218" s="380" t="s">
        <v>30</v>
      </c>
      <c r="D218" s="289">
        <v>2</v>
      </c>
      <c r="E218" s="396" t="s">
        <v>22</v>
      </c>
      <c r="F218" s="396" t="s">
        <v>19</v>
      </c>
      <c r="G218" s="397">
        <v>5</v>
      </c>
      <c r="H218" s="397">
        <v>1</v>
      </c>
      <c r="I218" s="396" t="s">
        <v>22</v>
      </c>
      <c r="J218" s="398"/>
      <c r="K218" s="398"/>
      <c r="L218" s="398"/>
      <c r="M218" s="399"/>
      <c r="N218" s="323" t="s">
        <v>123</v>
      </c>
      <c r="O218" s="392">
        <f>O219+O227</f>
        <v>121181400</v>
      </c>
      <c r="P218" s="304">
        <f>P219+P227</f>
        <v>0</v>
      </c>
      <c r="Q218" s="304">
        <f>Q219+Q227</f>
        <v>0</v>
      </c>
      <c r="R218" s="304">
        <f>P218+Q218</f>
        <v>0</v>
      </c>
      <c r="S218" s="304">
        <f>S219+S227</f>
        <v>0</v>
      </c>
      <c r="T218" s="304">
        <f>T219+T227</f>
        <v>0</v>
      </c>
      <c r="U218" s="304">
        <f t="shared" si="121"/>
        <v>0</v>
      </c>
      <c r="V218" s="304">
        <f>V219+V227</f>
        <v>116954400</v>
      </c>
      <c r="W218" s="304">
        <f>W219+W227</f>
        <v>-255000</v>
      </c>
      <c r="X218" s="304">
        <f t="shared" si="123"/>
        <v>116699400</v>
      </c>
      <c r="Y218" s="304">
        <f t="shared" ref="Y218:Y231" si="124">R218+U218+X218</f>
        <v>116699400</v>
      </c>
      <c r="Z218" s="317">
        <f t="shared" ref="Z218:Z233" si="125">O218-Y218</f>
        <v>4482000</v>
      </c>
      <c r="AA218" s="393"/>
      <c r="AB218" s="267"/>
      <c r="AC218" s="267"/>
      <c r="AD218" s="267"/>
      <c r="AE218" s="267"/>
      <c r="AF218" s="267"/>
      <c r="AG218" s="267"/>
      <c r="AH218" s="267"/>
      <c r="AI218" s="267"/>
      <c r="AJ218" s="267"/>
      <c r="AK218" s="267"/>
      <c r="AL218" s="267"/>
    </row>
    <row r="219" spans="1:38" s="268" customFormat="1" ht="31.2" customHeight="1">
      <c r="A219" s="379">
        <v>7</v>
      </c>
      <c r="B219" s="380" t="s">
        <v>19</v>
      </c>
      <c r="C219" s="380" t="s">
        <v>30</v>
      </c>
      <c r="D219" s="289">
        <v>2</v>
      </c>
      <c r="E219" s="396" t="s">
        <v>22</v>
      </c>
      <c r="F219" s="396" t="s">
        <v>19</v>
      </c>
      <c r="G219" s="397">
        <v>5</v>
      </c>
      <c r="H219" s="397">
        <v>1</v>
      </c>
      <c r="I219" s="396" t="s">
        <v>22</v>
      </c>
      <c r="J219" s="328" t="s">
        <v>19</v>
      </c>
      <c r="K219" s="315"/>
      <c r="L219" s="315"/>
      <c r="M219" s="326"/>
      <c r="N219" s="323" t="s">
        <v>50</v>
      </c>
      <c r="O219" s="392">
        <f>O220</f>
        <v>66801400</v>
      </c>
      <c r="P219" s="304">
        <f>P220</f>
        <v>0</v>
      </c>
      <c r="Q219" s="304">
        <f>Q220</f>
        <v>0</v>
      </c>
      <c r="R219" s="304">
        <f t="shared" ref="R219:R231" si="126">P219+Q219</f>
        <v>0</v>
      </c>
      <c r="S219" s="304">
        <f>S220</f>
        <v>0</v>
      </c>
      <c r="T219" s="304">
        <f>T220</f>
        <v>0</v>
      </c>
      <c r="U219" s="304">
        <f t="shared" si="121"/>
        <v>0</v>
      </c>
      <c r="V219" s="304">
        <f>V220</f>
        <v>62574400</v>
      </c>
      <c r="W219" s="304">
        <f>W220</f>
        <v>-255000</v>
      </c>
      <c r="X219" s="304">
        <f t="shared" si="123"/>
        <v>62319400</v>
      </c>
      <c r="Y219" s="304">
        <f t="shared" si="124"/>
        <v>62319400</v>
      </c>
      <c r="Z219" s="317">
        <f t="shared" si="125"/>
        <v>4482000</v>
      </c>
      <c r="AA219" s="393"/>
      <c r="AB219" s="267"/>
      <c r="AC219" s="267"/>
      <c r="AD219" s="267"/>
      <c r="AE219" s="267"/>
      <c r="AF219" s="267"/>
      <c r="AG219" s="267"/>
      <c r="AH219" s="267"/>
      <c r="AI219" s="267"/>
      <c r="AJ219" s="267"/>
      <c r="AK219" s="267"/>
      <c r="AL219" s="267"/>
    </row>
    <row r="220" spans="1:38" s="268" customFormat="1" ht="31.2" customHeight="1">
      <c r="A220" s="379">
        <v>7</v>
      </c>
      <c r="B220" s="380" t="s">
        <v>19</v>
      </c>
      <c r="C220" s="380" t="s">
        <v>30</v>
      </c>
      <c r="D220" s="289">
        <v>2</v>
      </c>
      <c r="E220" s="396" t="s">
        <v>22</v>
      </c>
      <c r="F220" s="396" t="s">
        <v>19</v>
      </c>
      <c r="G220" s="397">
        <v>5</v>
      </c>
      <c r="H220" s="397">
        <v>1</v>
      </c>
      <c r="I220" s="396" t="s">
        <v>22</v>
      </c>
      <c r="J220" s="328" t="s">
        <v>19</v>
      </c>
      <c r="K220" s="328" t="s">
        <v>19</v>
      </c>
      <c r="L220" s="329"/>
      <c r="M220" s="330"/>
      <c r="N220" s="323" t="s">
        <v>51</v>
      </c>
      <c r="O220" s="392">
        <f>SUM(O221:O226)</f>
        <v>66801400</v>
      </c>
      <c r="P220" s="304">
        <f>SUM(P221:P226)</f>
        <v>0</v>
      </c>
      <c r="Q220" s="304">
        <f>SUM(Q221:Q226)</f>
        <v>0</v>
      </c>
      <c r="R220" s="304">
        <f t="shared" si="126"/>
        <v>0</v>
      </c>
      <c r="S220" s="304">
        <f>SUM(S221:S226)</f>
        <v>0</v>
      </c>
      <c r="T220" s="304">
        <f>SUM(T221:T226)</f>
        <v>0</v>
      </c>
      <c r="U220" s="304">
        <f t="shared" si="121"/>
        <v>0</v>
      </c>
      <c r="V220" s="304">
        <f>SUM(V221:V226)</f>
        <v>62574400</v>
      </c>
      <c r="W220" s="304">
        <f>SUM(W221:W226)</f>
        <v>-255000</v>
      </c>
      <c r="X220" s="304">
        <f t="shared" si="123"/>
        <v>62319400</v>
      </c>
      <c r="Y220" s="304">
        <f t="shared" si="124"/>
        <v>62319400</v>
      </c>
      <c r="Z220" s="317">
        <f t="shared" si="125"/>
        <v>4482000</v>
      </c>
      <c r="AA220" s="393"/>
      <c r="AB220" s="267"/>
      <c r="AC220" s="267"/>
      <c r="AD220" s="267"/>
      <c r="AE220" s="267"/>
      <c r="AF220" s="267"/>
      <c r="AG220" s="267"/>
      <c r="AH220" s="267"/>
      <c r="AI220" s="267"/>
      <c r="AJ220" s="267"/>
      <c r="AK220" s="267"/>
      <c r="AL220" s="267"/>
    </row>
    <row r="221" spans="1:38" s="268" customFormat="1" ht="31.2" customHeight="1">
      <c r="A221" s="384">
        <v>7</v>
      </c>
      <c r="B221" s="385" t="s">
        <v>19</v>
      </c>
      <c r="C221" s="385" t="s">
        <v>30</v>
      </c>
      <c r="D221" s="307">
        <v>2</v>
      </c>
      <c r="E221" s="400" t="s">
        <v>22</v>
      </c>
      <c r="F221" s="400" t="s">
        <v>19</v>
      </c>
      <c r="G221" s="398">
        <v>5</v>
      </c>
      <c r="H221" s="398">
        <v>1</v>
      </c>
      <c r="I221" s="400" t="s">
        <v>22</v>
      </c>
      <c r="J221" s="314" t="s">
        <v>19</v>
      </c>
      <c r="K221" s="314" t="s">
        <v>19</v>
      </c>
      <c r="L221" s="314" t="s">
        <v>56</v>
      </c>
      <c r="M221" s="326">
        <v>4</v>
      </c>
      <c r="N221" s="309" t="s">
        <v>57</v>
      </c>
      <c r="O221" s="319">
        <v>10254000</v>
      </c>
      <c r="P221" s="311"/>
      <c r="Q221" s="311"/>
      <c r="R221" s="311">
        <f t="shared" si="126"/>
        <v>0</v>
      </c>
      <c r="S221" s="311"/>
      <c r="T221" s="311"/>
      <c r="U221" s="311">
        <f t="shared" si="121"/>
        <v>0</v>
      </c>
      <c r="V221" s="311">
        <f>'[2]SPJ FUNGSIONAL '!$X$220</f>
        <v>10148000</v>
      </c>
      <c r="W221" s="311"/>
      <c r="X221" s="311">
        <f t="shared" si="123"/>
        <v>10148000</v>
      </c>
      <c r="Y221" s="311">
        <f t="shared" si="124"/>
        <v>10148000</v>
      </c>
      <c r="Z221" s="310">
        <f t="shared" si="125"/>
        <v>106000</v>
      </c>
      <c r="AA221" s="393"/>
      <c r="AB221" s="267"/>
      <c r="AC221" s="267"/>
      <c r="AD221" s="267"/>
      <c r="AE221" s="267"/>
      <c r="AF221" s="267"/>
      <c r="AG221" s="267"/>
      <c r="AH221" s="267"/>
      <c r="AI221" s="267"/>
      <c r="AJ221" s="267"/>
      <c r="AK221" s="267"/>
      <c r="AL221" s="267"/>
    </row>
    <row r="222" spans="1:38" s="268" customFormat="1" ht="39.75" customHeight="1">
      <c r="A222" s="384">
        <v>7</v>
      </c>
      <c r="B222" s="385" t="s">
        <v>19</v>
      </c>
      <c r="C222" s="385" t="s">
        <v>30</v>
      </c>
      <c r="D222" s="307">
        <v>2</v>
      </c>
      <c r="E222" s="400" t="s">
        <v>22</v>
      </c>
      <c r="F222" s="400" t="s">
        <v>19</v>
      </c>
      <c r="G222" s="398">
        <v>5</v>
      </c>
      <c r="H222" s="398">
        <v>1</v>
      </c>
      <c r="I222" s="400" t="s">
        <v>22</v>
      </c>
      <c r="J222" s="314" t="s">
        <v>19</v>
      </c>
      <c r="K222" s="314" t="s">
        <v>19</v>
      </c>
      <c r="L222" s="314" t="s">
        <v>56</v>
      </c>
      <c r="M222" s="342" t="s">
        <v>12</v>
      </c>
      <c r="N222" s="318" t="s">
        <v>58</v>
      </c>
      <c r="O222" s="319">
        <v>767000</v>
      </c>
      <c r="P222" s="311"/>
      <c r="Q222" s="311"/>
      <c r="R222" s="311">
        <f t="shared" si="126"/>
        <v>0</v>
      </c>
      <c r="S222" s="311"/>
      <c r="T222" s="311"/>
      <c r="U222" s="311">
        <f t="shared" si="121"/>
        <v>0</v>
      </c>
      <c r="V222" s="311">
        <f>'[2]SPJ FUNGSIONAL '!$X$221</f>
        <v>739000</v>
      </c>
      <c r="W222" s="311"/>
      <c r="X222" s="311">
        <f t="shared" si="123"/>
        <v>739000</v>
      </c>
      <c r="Y222" s="311">
        <f t="shared" si="124"/>
        <v>739000</v>
      </c>
      <c r="Z222" s="310">
        <f t="shared" si="125"/>
        <v>28000</v>
      </c>
      <c r="AA222" s="393"/>
      <c r="AB222" s="267"/>
      <c r="AC222" s="267"/>
      <c r="AD222" s="267"/>
      <c r="AE222" s="267"/>
      <c r="AF222" s="267"/>
      <c r="AG222" s="267"/>
      <c r="AH222" s="267"/>
      <c r="AI222" s="267"/>
      <c r="AJ222" s="267"/>
      <c r="AK222" s="267"/>
      <c r="AL222" s="267"/>
    </row>
    <row r="223" spans="1:38" s="268" customFormat="1" ht="42" customHeight="1">
      <c r="A223" s="384">
        <v>7</v>
      </c>
      <c r="B223" s="385" t="s">
        <v>19</v>
      </c>
      <c r="C223" s="385" t="s">
        <v>30</v>
      </c>
      <c r="D223" s="307">
        <v>2</v>
      </c>
      <c r="E223" s="400" t="s">
        <v>22</v>
      </c>
      <c r="F223" s="400" t="s">
        <v>19</v>
      </c>
      <c r="G223" s="398">
        <v>5</v>
      </c>
      <c r="H223" s="398">
        <v>1</v>
      </c>
      <c r="I223" s="400" t="s">
        <v>22</v>
      </c>
      <c r="J223" s="314" t="s">
        <v>19</v>
      </c>
      <c r="K223" s="314" t="s">
        <v>19</v>
      </c>
      <c r="L223" s="314" t="s">
        <v>56</v>
      </c>
      <c r="M223" s="326">
        <v>6</v>
      </c>
      <c r="N223" s="318" t="s">
        <v>124</v>
      </c>
      <c r="O223" s="319">
        <v>5953400</v>
      </c>
      <c r="P223" s="311"/>
      <c r="Q223" s="311"/>
      <c r="R223" s="311">
        <f t="shared" si="126"/>
        <v>0</v>
      </c>
      <c r="S223" s="311"/>
      <c r="T223" s="311"/>
      <c r="U223" s="311">
        <f t="shared" si="121"/>
        <v>0</v>
      </c>
      <c r="V223" s="311">
        <f>'[5]SPJ FUNGSIONAL '!$X$222</f>
        <v>4919550</v>
      </c>
      <c r="W223" s="526">
        <f>-255000</f>
        <v>-255000</v>
      </c>
      <c r="X223" s="311">
        <f t="shared" si="123"/>
        <v>4664550</v>
      </c>
      <c r="Y223" s="311">
        <f t="shared" si="124"/>
        <v>4664550</v>
      </c>
      <c r="Z223" s="310">
        <f t="shared" si="125"/>
        <v>1288850</v>
      </c>
      <c r="AA223" s="393"/>
      <c r="AB223" s="267"/>
      <c r="AC223" s="267"/>
      <c r="AD223" s="267"/>
      <c r="AE223" s="267"/>
      <c r="AF223" s="267"/>
      <c r="AG223" s="267"/>
      <c r="AH223" s="267"/>
      <c r="AI223" s="267"/>
      <c r="AJ223" s="267"/>
      <c r="AK223" s="267"/>
      <c r="AL223" s="267"/>
    </row>
    <row r="224" spans="1:38" s="268" customFormat="1" ht="40.5" customHeight="1">
      <c r="A224" s="384">
        <v>7</v>
      </c>
      <c r="B224" s="385" t="s">
        <v>19</v>
      </c>
      <c r="C224" s="385" t="s">
        <v>30</v>
      </c>
      <c r="D224" s="307">
        <v>2</v>
      </c>
      <c r="E224" s="400" t="s">
        <v>22</v>
      </c>
      <c r="F224" s="400" t="s">
        <v>19</v>
      </c>
      <c r="G224" s="398">
        <v>5</v>
      </c>
      <c r="H224" s="398">
        <v>1</v>
      </c>
      <c r="I224" s="400" t="s">
        <v>22</v>
      </c>
      <c r="J224" s="314" t="s">
        <v>19</v>
      </c>
      <c r="K224" s="314" t="s">
        <v>19</v>
      </c>
      <c r="L224" s="314" t="s">
        <v>56</v>
      </c>
      <c r="M224" s="326">
        <v>9</v>
      </c>
      <c r="N224" s="318" t="s">
        <v>125</v>
      </c>
      <c r="O224" s="319">
        <v>632000</v>
      </c>
      <c r="P224" s="311"/>
      <c r="Q224" s="311"/>
      <c r="R224" s="311">
        <f t="shared" si="126"/>
        <v>0</v>
      </c>
      <c r="S224" s="311"/>
      <c r="T224" s="311"/>
      <c r="U224" s="311">
        <f t="shared" si="121"/>
        <v>0</v>
      </c>
      <c r="V224" s="311">
        <f>'[2]SPJ FUNGSIONAL '!$X$223</f>
        <v>632000</v>
      </c>
      <c r="W224" s="311"/>
      <c r="X224" s="311">
        <f t="shared" si="123"/>
        <v>632000</v>
      </c>
      <c r="Y224" s="311">
        <f t="shared" si="124"/>
        <v>632000</v>
      </c>
      <c r="Z224" s="310">
        <f t="shared" si="125"/>
        <v>0</v>
      </c>
      <c r="AA224" s="393"/>
      <c r="AB224" s="267"/>
      <c r="AC224" s="267"/>
      <c r="AD224" s="267"/>
      <c r="AE224" s="267"/>
      <c r="AF224" s="267"/>
      <c r="AG224" s="267"/>
      <c r="AH224" s="267"/>
      <c r="AI224" s="267"/>
      <c r="AJ224" s="267"/>
      <c r="AK224" s="267"/>
      <c r="AL224" s="267"/>
    </row>
    <row r="225" spans="1:38" s="268" customFormat="1" ht="31.2" customHeight="1">
      <c r="A225" s="384">
        <v>7</v>
      </c>
      <c r="B225" s="385" t="s">
        <v>19</v>
      </c>
      <c r="C225" s="385" t="s">
        <v>30</v>
      </c>
      <c r="D225" s="307">
        <v>2</v>
      </c>
      <c r="E225" s="400" t="s">
        <v>22</v>
      </c>
      <c r="F225" s="400" t="s">
        <v>19</v>
      </c>
      <c r="G225" s="398">
        <v>5</v>
      </c>
      <c r="H225" s="398">
        <v>1</v>
      </c>
      <c r="I225" s="400" t="s">
        <v>22</v>
      </c>
      <c r="J225" s="314" t="s">
        <v>19</v>
      </c>
      <c r="K225" s="314" t="s">
        <v>19</v>
      </c>
      <c r="L225" s="314" t="s">
        <v>66</v>
      </c>
      <c r="M225" s="326">
        <v>2</v>
      </c>
      <c r="N225" s="309" t="s">
        <v>126</v>
      </c>
      <c r="O225" s="319">
        <v>10175000</v>
      </c>
      <c r="P225" s="311"/>
      <c r="Q225" s="311"/>
      <c r="R225" s="311">
        <f t="shared" si="126"/>
        <v>0</v>
      </c>
      <c r="S225" s="311"/>
      <c r="T225" s="311"/>
      <c r="U225" s="311">
        <f t="shared" si="121"/>
        <v>0</v>
      </c>
      <c r="V225" s="311">
        <f>'[5]SPJ FUNGSIONAL '!$X$224</f>
        <v>9257850</v>
      </c>
      <c r="W225" s="311"/>
      <c r="X225" s="311">
        <f t="shared" si="123"/>
        <v>9257850</v>
      </c>
      <c r="Y225" s="311">
        <f t="shared" si="124"/>
        <v>9257850</v>
      </c>
      <c r="Z225" s="310">
        <f t="shared" si="125"/>
        <v>917150</v>
      </c>
      <c r="AA225" s="393"/>
      <c r="AB225" s="267"/>
      <c r="AC225" s="267"/>
      <c r="AD225" s="267"/>
      <c r="AE225" s="267"/>
      <c r="AF225" s="267"/>
      <c r="AG225" s="267"/>
      <c r="AH225" s="267"/>
      <c r="AI225" s="267"/>
      <c r="AJ225" s="267"/>
      <c r="AK225" s="267"/>
      <c r="AL225" s="267"/>
    </row>
    <row r="226" spans="1:38" s="268" customFormat="1" ht="31.2" customHeight="1">
      <c r="A226" s="384">
        <v>7</v>
      </c>
      <c r="B226" s="385" t="s">
        <v>19</v>
      </c>
      <c r="C226" s="385" t="s">
        <v>30</v>
      </c>
      <c r="D226" s="307">
        <v>2</v>
      </c>
      <c r="E226" s="400" t="s">
        <v>22</v>
      </c>
      <c r="F226" s="400" t="s">
        <v>19</v>
      </c>
      <c r="G226" s="398">
        <v>5</v>
      </c>
      <c r="H226" s="398">
        <v>1</v>
      </c>
      <c r="I226" s="400" t="s">
        <v>22</v>
      </c>
      <c r="J226" s="314" t="s">
        <v>19</v>
      </c>
      <c r="K226" s="314" t="s">
        <v>19</v>
      </c>
      <c r="L226" s="314" t="s">
        <v>66</v>
      </c>
      <c r="M226" s="326">
        <v>8</v>
      </c>
      <c r="N226" s="309" t="s">
        <v>127</v>
      </c>
      <c r="O226" s="319">
        <v>39020000</v>
      </c>
      <c r="P226" s="311"/>
      <c r="Q226" s="311"/>
      <c r="R226" s="311">
        <f t="shared" si="126"/>
        <v>0</v>
      </c>
      <c r="S226" s="311"/>
      <c r="T226" s="311"/>
      <c r="U226" s="311">
        <f t="shared" si="121"/>
        <v>0</v>
      </c>
      <c r="V226" s="311">
        <f>'[5]SPJ FUNGSIONAL '!$X$225</f>
        <v>36878000</v>
      </c>
      <c r="W226" s="311"/>
      <c r="X226" s="311">
        <f t="shared" si="123"/>
        <v>36878000</v>
      </c>
      <c r="Y226" s="311">
        <f t="shared" si="124"/>
        <v>36878000</v>
      </c>
      <c r="Z226" s="310">
        <f t="shared" si="125"/>
        <v>2142000</v>
      </c>
      <c r="AA226" s="393"/>
      <c r="AB226" s="267"/>
      <c r="AC226" s="267"/>
      <c r="AD226" s="267"/>
      <c r="AE226" s="267"/>
      <c r="AF226" s="267"/>
      <c r="AG226" s="267"/>
      <c r="AH226" s="267"/>
      <c r="AI226" s="267"/>
      <c r="AJ226" s="267"/>
      <c r="AK226" s="267"/>
      <c r="AL226" s="267"/>
    </row>
    <row r="227" spans="1:38" s="268" customFormat="1" ht="31.2" customHeight="1">
      <c r="A227" s="379">
        <v>7</v>
      </c>
      <c r="B227" s="380" t="s">
        <v>19</v>
      </c>
      <c r="C227" s="380" t="s">
        <v>30</v>
      </c>
      <c r="D227" s="289">
        <v>2</v>
      </c>
      <c r="E227" s="396" t="s">
        <v>22</v>
      </c>
      <c r="F227" s="396" t="s">
        <v>19</v>
      </c>
      <c r="G227" s="397">
        <v>5</v>
      </c>
      <c r="H227" s="397">
        <v>1</v>
      </c>
      <c r="I227" s="396" t="s">
        <v>22</v>
      </c>
      <c r="J227" s="328" t="s">
        <v>22</v>
      </c>
      <c r="K227" s="315"/>
      <c r="L227" s="315"/>
      <c r="M227" s="326"/>
      <c r="N227" s="323" t="s">
        <v>75</v>
      </c>
      <c r="O227" s="392">
        <f>O228+O232</f>
        <v>54380000</v>
      </c>
      <c r="P227" s="304">
        <f>P228</f>
        <v>0</v>
      </c>
      <c r="Q227" s="304">
        <f>Q228</f>
        <v>0</v>
      </c>
      <c r="R227" s="304">
        <f t="shared" si="126"/>
        <v>0</v>
      </c>
      <c r="S227" s="304">
        <f>S228</f>
        <v>0</v>
      </c>
      <c r="T227" s="304">
        <f>T228</f>
        <v>0</v>
      </c>
      <c r="U227" s="304">
        <f t="shared" si="121"/>
        <v>0</v>
      </c>
      <c r="V227" s="304">
        <f>V228</f>
        <v>54380000</v>
      </c>
      <c r="W227" s="304">
        <f>W228</f>
        <v>0</v>
      </c>
      <c r="X227" s="304">
        <f t="shared" si="123"/>
        <v>54380000</v>
      </c>
      <c r="Y227" s="304">
        <f t="shared" si="124"/>
        <v>54380000</v>
      </c>
      <c r="Z227" s="317">
        <f t="shared" si="125"/>
        <v>0</v>
      </c>
      <c r="AA227" s="393"/>
      <c r="AB227" s="267"/>
      <c r="AC227" s="267"/>
      <c r="AD227" s="267"/>
      <c r="AE227" s="267"/>
      <c r="AF227" s="267"/>
      <c r="AG227" s="267"/>
      <c r="AH227" s="267"/>
      <c r="AI227" s="267"/>
      <c r="AJ227" s="267"/>
      <c r="AK227" s="267"/>
      <c r="AL227" s="267"/>
    </row>
    <row r="228" spans="1:38" s="268" customFormat="1" ht="31.2" customHeight="1">
      <c r="A228" s="379">
        <v>7</v>
      </c>
      <c r="B228" s="380" t="s">
        <v>19</v>
      </c>
      <c r="C228" s="380" t="s">
        <v>30</v>
      </c>
      <c r="D228" s="289">
        <v>2</v>
      </c>
      <c r="E228" s="396" t="s">
        <v>22</v>
      </c>
      <c r="F228" s="396" t="s">
        <v>19</v>
      </c>
      <c r="G228" s="397">
        <v>5</v>
      </c>
      <c r="H228" s="397">
        <v>1</v>
      </c>
      <c r="I228" s="396" t="s">
        <v>22</v>
      </c>
      <c r="J228" s="328" t="s">
        <v>22</v>
      </c>
      <c r="K228" s="328" t="s">
        <v>19</v>
      </c>
      <c r="L228" s="329"/>
      <c r="M228" s="330"/>
      <c r="N228" s="323" t="s">
        <v>114</v>
      </c>
      <c r="O228" s="392">
        <f>O229+O230+O231</f>
        <v>54380000</v>
      </c>
      <c r="P228" s="304">
        <f>P229+P231</f>
        <v>0</v>
      </c>
      <c r="Q228" s="304">
        <f>Q229+Q231</f>
        <v>0</v>
      </c>
      <c r="R228" s="304">
        <f t="shared" si="126"/>
        <v>0</v>
      </c>
      <c r="S228" s="304">
        <f>S229+S231</f>
        <v>0</v>
      </c>
      <c r="T228" s="304">
        <f>T229+T231</f>
        <v>0</v>
      </c>
      <c r="U228" s="304">
        <f t="shared" si="121"/>
        <v>0</v>
      </c>
      <c r="V228" s="304">
        <f>V229+V230+V231</f>
        <v>54380000</v>
      </c>
      <c r="W228" s="304">
        <f>W229+W230+W231</f>
        <v>0</v>
      </c>
      <c r="X228" s="304">
        <f t="shared" si="123"/>
        <v>54380000</v>
      </c>
      <c r="Y228" s="304">
        <f t="shared" si="124"/>
        <v>54380000</v>
      </c>
      <c r="Z228" s="317">
        <f t="shared" si="125"/>
        <v>0</v>
      </c>
      <c r="AA228" s="393"/>
      <c r="AB228" s="267"/>
      <c r="AC228" s="267"/>
      <c r="AD228" s="267"/>
      <c r="AE228" s="267"/>
      <c r="AF228" s="267"/>
      <c r="AG228" s="267"/>
      <c r="AH228" s="267"/>
      <c r="AI228" s="267"/>
      <c r="AJ228" s="267"/>
      <c r="AK228" s="267"/>
      <c r="AL228" s="267"/>
    </row>
    <row r="229" spans="1:38" s="268" customFormat="1" ht="41.5" customHeight="1">
      <c r="A229" s="384">
        <v>7</v>
      </c>
      <c r="B229" s="385" t="s">
        <v>19</v>
      </c>
      <c r="C229" s="385" t="s">
        <v>30</v>
      </c>
      <c r="D229" s="307">
        <v>2</v>
      </c>
      <c r="E229" s="306" t="s">
        <v>22</v>
      </c>
      <c r="F229" s="306" t="s">
        <v>19</v>
      </c>
      <c r="G229" s="307">
        <v>5</v>
      </c>
      <c r="H229" s="307">
        <v>1</v>
      </c>
      <c r="I229" s="306" t="s">
        <v>22</v>
      </c>
      <c r="J229" s="314" t="s">
        <v>22</v>
      </c>
      <c r="K229" s="314" t="s">
        <v>19</v>
      </c>
      <c r="L229" s="314" t="s">
        <v>27</v>
      </c>
      <c r="M229" s="326">
        <v>3</v>
      </c>
      <c r="N229" s="318" t="s">
        <v>115</v>
      </c>
      <c r="O229" s="319">
        <v>1500000</v>
      </c>
      <c r="P229" s="311"/>
      <c r="Q229" s="311"/>
      <c r="R229" s="311">
        <f t="shared" si="126"/>
        <v>0</v>
      </c>
      <c r="S229" s="311"/>
      <c r="T229" s="311"/>
      <c r="U229" s="311">
        <f t="shared" si="121"/>
        <v>0</v>
      </c>
      <c r="V229" s="311">
        <f>'[5]SPJ FUNGSIONAL '!$X$228</f>
        <v>1500000</v>
      </c>
      <c r="W229" s="311"/>
      <c r="X229" s="311">
        <f t="shared" si="123"/>
        <v>1500000</v>
      </c>
      <c r="Y229" s="311">
        <f t="shared" si="124"/>
        <v>1500000</v>
      </c>
      <c r="Z229" s="310">
        <f t="shared" si="125"/>
        <v>0</v>
      </c>
      <c r="AA229" s="393"/>
      <c r="AB229" s="267"/>
      <c r="AC229" s="267"/>
      <c r="AD229" s="267"/>
      <c r="AE229" s="267"/>
      <c r="AF229" s="267"/>
      <c r="AG229" s="267"/>
      <c r="AH229" s="267"/>
      <c r="AI229" s="267"/>
      <c r="AJ229" s="267"/>
      <c r="AK229" s="267"/>
      <c r="AL229" s="267"/>
    </row>
    <row r="230" spans="1:38" s="268" customFormat="1" ht="41.5" customHeight="1">
      <c r="A230" s="384">
        <v>7</v>
      </c>
      <c r="B230" s="385" t="s">
        <v>19</v>
      </c>
      <c r="C230" s="385" t="s">
        <v>30</v>
      </c>
      <c r="D230" s="307">
        <v>2</v>
      </c>
      <c r="E230" s="306" t="s">
        <v>22</v>
      </c>
      <c r="F230" s="306" t="s">
        <v>19</v>
      </c>
      <c r="G230" s="307">
        <v>5</v>
      </c>
      <c r="H230" s="307">
        <v>1</v>
      </c>
      <c r="I230" s="306" t="s">
        <v>22</v>
      </c>
      <c r="J230" s="314" t="s">
        <v>22</v>
      </c>
      <c r="K230" s="314" t="s">
        <v>19</v>
      </c>
      <c r="L230" s="314" t="s">
        <v>27</v>
      </c>
      <c r="M230" s="326">
        <v>4</v>
      </c>
      <c r="N230" s="318" t="s">
        <v>262</v>
      </c>
      <c r="O230" s="401">
        <v>880000</v>
      </c>
      <c r="P230" s="340"/>
      <c r="Q230" s="340"/>
      <c r="R230" s="311"/>
      <c r="S230" s="340"/>
      <c r="T230" s="340"/>
      <c r="U230" s="311"/>
      <c r="V230" s="340">
        <f>'[5]SPJ FUNGSIONAL '!$X$229</f>
        <v>880000</v>
      </c>
      <c r="W230" s="340"/>
      <c r="X230" s="311">
        <f t="shared" ref="X230" si="127">V230+W230</f>
        <v>880000</v>
      </c>
      <c r="Y230" s="311">
        <f t="shared" ref="Y230" si="128">R230+U230+X230</f>
        <v>880000</v>
      </c>
      <c r="Z230" s="310">
        <f t="shared" si="125"/>
        <v>0</v>
      </c>
      <c r="AA230" s="393"/>
      <c r="AB230" s="267"/>
      <c r="AC230" s="267"/>
      <c r="AD230" s="267"/>
      <c r="AE230" s="267"/>
      <c r="AF230" s="267"/>
      <c r="AG230" s="267"/>
      <c r="AH230" s="267"/>
      <c r="AI230" s="267"/>
      <c r="AJ230" s="267"/>
      <c r="AK230" s="267"/>
      <c r="AL230" s="267"/>
    </row>
    <row r="231" spans="1:38" s="268" customFormat="1" ht="36" customHeight="1">
      <c r="A231" s="384">
        <v>7</v>
      </c>
      <c r="B231" s="385" t="s">
        <v>19</v>
      </c>
      <c r="C231" s="385" t="s">
        <v>30</v>
      </c>
      <c r="D231" s="307">
        <v>2</v>
      </c>
      <c r="E231" s="306" t="s">
        <v>22</v>
      </c>
      <c r="F231" s="306" t="s">
        <v>19</v>
      </c>
      <c r="G231" s="307">
        <v>5</v>
      </c>
      <c r="H231" s="307">
        <v>1</v>
      </c>
      <c r="I231" s="306" t="s">
        <v>22</v>
      </c>
      <c r="J231" s="314" t="s">
        <v>22</v>
      </c>
      <c r="K231" s="314" t="s">
        <v>19</v>
      </c>
      <c r="L231" s="314" t="s">
        <v>27</v>
      </c>
      <c r="M231" s="326">
        <v>6</v>
      </c>
      <c r="N231" s="318" t="s">
        <v>130</v>
      </c>
      <c r="O231" s="401">
        <v>52000000</v>
      </c>
      <c r="P231" s="340"/>
      <c r="Q231" s="340"/>
      <c r="R231" s="311">
        <f t="shared" si="126"/>
        <v>0</v>
      </c>
      <c r="S231" s="340"/>
      <c r="T231" s="340"/>
      <c r="U231" s="311">
        <f t="shared" si="121"/>
        <v>0</v>
      </c>
      <c r="V231" s="340">
        <f>'[5]SPJ FUNGSIONAL '!$X$230</f>
        <v>52000000</v>
      </c>
      <c r="W231" s="340"/>
      <c r="X231" s="311">
        <f t="shared" si="123"/>
        <v>52000000</v>
      </c>
      <c r="Y231" s="311">
        <f t="shared" si="124"/>
        <v>52000000</v>
      </c>
      <c r="Z231" s="310">
        <f t="shared" si="125"/>
        <v>0</v>
      </c>
      <c r="AA231" s="393"/>
      <c r="AB231" s="267"/>
      <c r="AC231" s="267"/>
      <c r="AD231" s="267"/>
      <c r="AE231" s="267"/>
      <c r="AF231" s="267"/>
      <c r="AG231" s="267"/>
      <c r="AH231" s="267"/>
      <c r="AI231" s="267"/>
      <c r="AJ231" s="267"/>
      <c r="AK231" s="267"/>
      <c r="AL231" s="267"/>
    </row>
    <row r="232" spans="1:38" s="268" customFormat="1" ht="36" customHeight="1">
      <c r="A232" s="379">
        <v>7</v>
      </c>
      <c r="B232" s="380" t="s">
        <v>19</v>
      </c>
      <c r="C232" s="380" t="s">
        <v>30</v>
      </c>
      <c r="D232" s="289">
        <v>2</v>
      </c>
      <c r="E232" s="396" t="s">
        <v>22</v>
      </c>
      <c r="F232" s="396" t="s">
        <v>19</v>
      </c>
      <c r="G232" s="397">
        <v>5</v>
      </c>
      <c r="H232" s="397">
        <v>1</v>
      </c>
      <c r="I232" s="396" t="s">
        <v>22</v>
      </c>
      <c r="J232" s="328" t="s">
        <v>22</v>
      </c>
      <c r="K232" s="328" t="s">
        <v>54</v>
      </c>
      <c r="L232" s="315"/>
      <c r="M232" s="326"/>
      <c r="N232" s="323" t="s">
        <v>263</v>
      </c>
      <c r="O232" s="392">
        <f>O233</f>
        <v>0</v>
      </c>
      <c r="P232" s="340"/>
      <c r="Q232" s="340"/>
      <c r="R232" s="340"/>
      <c r="S232" s="340"/>
      <c r="T232" s="340"/>
      <c r="U232" s="340"/>
      <c r="V232" s="340"/>
      <c r="W232" s="340"/>
      <c r="X232" s="340"/>
      <c r="Y232" s="340"/>
      <c r="Z232" s="310">
        <f t="shared" si="125"/>
        <v>0</v>
      </c>
      <c r="AA232" s="393"/>
      <c r="AB232" s="267"/>
      <c r="AC232" s="267"/>
      <c r="AD232" s="267"/>
      <c r="AE232" s="267"/>
      <c r="AF232" s="267"/>
      <c r="AG232" s="267"/>
      <c r="AH232" s="267"/>
      <c r="AI232" s="267"/>
      <c r="AJ232" s="267"/>
      <c r="AK232" s="267"/>
      <c r="AL232" s="267"/>
    </row>
    <row r="233" spans="1:38" s="268" customFormat="1" ht="36" customHeight="1">
      <c r="A233" s="384">
        <v>7</v>
      </c>
      <c r="B233" s="385" t="s">
        <v>19</v>
      </c>
      <c r="C233" s="385" t="s">
        <v>30</v>
      </c>
      <c r="D233" s="307">
        <v>2</v>
      </c>
      <c r="E233" s="400" t="s">
        <v>22</v>
      </c>
      <c r="F233" s="400" t="s">
        <v>19</v>
      </c>
      <c r="G233" s="398">
        <v>5</v>
      </c>
      <c r="H233" s="398">
        <v>1</v>
      </c>
      <c r="I233" s="400" t="s">
        <v>22</v>
      </c>
      <c r="J233" s="314" t="s">
        <v>22</v>
      </c>
      <c r="K233" s="314" t="s">
        <v>54</v>
      </c>
      <c r="L233" s="314" t="s">
        <v>100</v>
      </c>
      <c r="M233" s="326">
        <v>7</v>
      </c>
      <c r="N233" s="407" t="s">
        <v>264</v>
      </c>
      <c r="O233" s="401">
        <v>0</v>
      </c>
      <c r="P233" s="340"/>
      <c r="Q233" s="340"/>
      <c r="R233" s="340"/>
      <c r="S233" s="340"/>
      <c r="T233" s="340"/>
      <c r="U233" s="340"/>
      <c r="V233" s="340"/>
      <c r="W233" s="340"/>
      <c r="X233" s="340"/>
      <c r="Y233" s="340"/>
      <c r="Z233" s="310">
        <f t="shared" si="125"/>
        <v>0</v>
      </c>
      <c r="AA233" s="393"/>
      <c r="AB233" s="267"/>
      <c r="AC233" s="267"/>
      <c r="AD233" s="267"/>
      <c r="AE233" s="267"/>
      <c r="AF233" s="267"/>
      <c r="AG233" s="267"/>
      <c r="AH233" s="267"/>
      <c r="AI233" s="267"/>
      <c r="AJ233" s="267"/>
      <c r="AK233" s="267"/>
      <c r="AL233" s="267"/>
    </row>
    <row r="234" spans="1:38" s="268" customFormat="1" ht="16.5" customHeight="1">
      <c r="A234" s="403"/>
      <c r="B234" s="404"/>
      <c r="C234" s="404"/>
      <c r="D234" s="307"/>
      <c r="E234" s="307"/>
      <c r="F234" s="307"/>
      <c r="G234" s="307"/>
      <c r="H234" s="307"/>
      <c r="I234" s="307"/>
      <c r="J234" s="315"/>
      <c r="K234" s="405"/>
      <c r="L234" s="405"/>
      <c r="M234" s="406"/>
      <c r="N234" s="407"/>
      <c r="O234" s="401">
        <f>O236-524180800</f>
        <v>0</v>
      </c>
      <c r="P234" s="340"/>
      <c r="Q234" s="340"/>
      <c r="R234" s="340"/>
      <c r="S234" s="340"/>
      <c r="T234" s="340"/>
      <c r="U234" s="340"/>
      <c r="V234" s="340"/>
      <c r="W234" s="340"/>
      <c r="X234" s="340"/>
      <c r="Y234" s="340"/>
      <c r="Z234" s="341"/>
      <c r="AA234" s="393"/>
      <c r="AB234" s="267"/>
      <c r="AC234" s="267"/>
      <c r="AD234" s="267"/>
      <c r="AE234" s="267"/>
      <c r="AF234" s="267"/>
      <c r="AG234" s="267"/>
      <c r="AH234" s="267"/>
      <c r="AI234" s="267"/>
      <c r="AJ234" s="267"/>
      <c r="AK234" s="267"/>
      <c r="AL234" s="267"/>
    </row>
    <row r="235" spans="1:38" s="268" customFormat="1" ht="58.5" customHeight="1">
      <c r="A235" s="371">
        <v>7</v>
      </c>
      <c r="B235" s="372" t="s">
        <v>19</v>
      </c>
      <c r="C235" s="372" t="s">
        <v>30</v>
      </c>
      <c r="D235" s="297">
        <v>2</v>
      </c>
      <c r="E235" s="373" t="s">
        <v>22</v>
      </c>
      <c r="F235" s="373" t="s">
        <v>30</v>
      </c>
      <c r="G235" s="375"/>
      <c r="H235" s="375"/>
      <c r="I235" s="375"/>
      <c r="J235" s="375"/>
      <c r="K235" s="375"/>
      <c r="L235" s="375"/>
      <c r="M235" s="376"/>
      <c r="N235" s="321" t="s">
        <v>267</v>
      </c>
      <c r="O235" s="300">
        <f>O236</f>
        <v>524180800</v>
      </c>
      <c r="P235" s="300">
        <f t="shared" ref="P235:Q235" si="129">P236</f>
        <v>0</v>
      </c>
      <c r="Q235" s="300">
        <f t="shared" si="129"/>
        <v>0</v>
      </c>
      <c r="R235" s="301">
        <f>P235+Q235</f>
        <v>0</v>
      </c>
      <c r="S235" s="377">
        <f>S236</f>
        <v>0</v>
      </c>
      <c r="T235" s="377">
        <f>T236</f>
        <v>0</v>
      </c>
      <c r="U235" s="301">
        <f t="shared" ref="U235:U265" si="130">S235+T235</f>
        <v>0</v>
      </c>
      <c r="V235" s="300">
        <f>V236</f>
        <v>348532430</v>
      </c>
      <c r="W235" s="377">
        <f>W236</f>
        <v>124063551</v>
      </c>
      <c r="X235" s="301">
        <f t="shared" ref="X235:X265" si="131">V235+W235</f>
        <v>472595981</v>
      </c>
      <c r="Y235" s="301">
        <f>R235+U235+X235</f>
        <v>472595981</v>
      </c>
      <c r="Z235" s="300">
        <f>O235-Y235</f>
        <v>51584819</v>
      </c>
      <c r="AA235" s="393"/>
      <c r="AB235" s="267"/>
      <c r="AC235" s="267"/>
      <c r="AD235" s="267"/>
      <c r="AE235" s="267"/>
      <c r="AF235" s="267"/>
      <c r="AG235" s="267"/>
      <c r="AH235" s="267"/>
      <c r="AI235" s="267"/>
      <c r="AJ235" s="267"/>
      <c r="AK235" s="267"/>
      <c r="AL235" s="267"/>
    </row>
    <row r="236" spans="1:38" s="268" customFormat="1" ht="36" customHeight="1">
      <c r="A236" s="379">
        <v>7</v>
      </c>
      <c r="B236" s="380" t="s">
        <v>19</v>
      </c>
      <c r="C236" s="380" t="s">
        <v>30</v>
      </c>
      <c r="D236" s="289">
        <v>2</v>
      </c>
      <c r="E236" s="396" t="s">
        <v>22</v>
      </c>
      <c r="F236" s="396" t="s">
        <v>30</v>
      </c>
      <c r="G236" s="397">
        <v>5</v>
      </c>
      <c r="H236" s="397">
        <v>1</v>
      </c>
      <c r="I236" s="396" t="s">
        <v>22</v>
      </c>
      <c r="J236" s="307"/>
      <c r="K236" s="307"/>
      <c r="L236" s="307"/>
      <c r="M236" s="308"/>
      <c r="N236" s="323" t="s">
        <v>123</v>
      </c>
      <c r="O236" s="408">
        <f>O237+O249+O256+O259+O263</f>
        <v>524180800</v>
      </c>
      <c r="P236" s="408">
        <f t="shared" ref="P236:U236" si="132">P237+P249+P259+P263</f>
        <v>0</v>
      </c>
      <c r="Q236" s="408">
        <f t="shared" si="132"/>
        <v>0</v>
      </c>
      <c r="R236" s="408">
        <f t="shared" si="132"/>
        <v>0</v>
      </c>
      <c r="S236" s="408">
        <f t="shared" si="132"/>
        <v>0</v>
      </c>
      <c r="T236" s="408">
        <f t="shared" si="132"/>
        <v>0</v>
      </c>
      <c r="U236" s="408">
        <f t="shared" si="132"/>
        <v>0</v>
      </c>
      <c r="V236" s="408">
        <f>V237+V249+V256+V259+V263</f>
        <v>348532430</v>
      </c>
      <c r="W236" s="408">
        <f>W237+W249+W256+W259+W263</f>
        <v>124063551</v>
      </c>
      <c r="X236" s="408">
        <f>SUM(V236:W236)</f>
        <v>472595981</v>
      </c>
      <c r="Y236" s="304">
        <f t="shared" ref="Y236:Y265" si="133">R236+U236+X236</f>
        <v>472595981</v>
      </c>
      <c r="Z236" s="317">
        <f t="shared" ref="Z236:Z265" si="134">O236-Y236</f>
        <v>51584819</v>
      </c>
      <c r="AA236" s="393"/>
      <c r="AB236" s="267"/>
      <c r="AC236" s="267"/>
      <c r="AD236" s="267"/>
      <c r="AE236" s="267"/>
      <c r="AF236" s="267"/>
      <c r="AG236" s="267"/>
      <c r="AH236" s="267"/>
      <c r="AI236" s="267"/>
      <c r="AJ236" s="267"/>
      <c r="AK236" s="267"/>
      <c r="AL236" s="267"/>
    </row>
    <row r="237" spans="1:38" s="268" customFormat="1" ht="36" customHeight="1">
      <c r="A237" s="379">
        <v>7</v>
      </c>
      <c r="B237" s="380" t="s">
        <v>19</v>
      </c>
      <c r="C237" s="380" t="s">
        <v>30</v>
      </c>
      <c r="D237" s="289">
        <v>2</v>
      </c>
      <c r="E237" s="396" t="s">
        <v>22</v>
      </c>
      <c r="F237" s="396" t="s">
        <v>30</v>
      </c>
      <c r="G237" s="397">
        <v>5</v>
      </c>
      <c r="H237" s="397">
        <v>1</v>
      </c>
      <c r="I237" s="396" t="s">
        <v>22</v>
      </c>
      <c r="J237" s="302" t="s">
        <v>19</v>
      </c>
      <c r="K237" s="307"/>
      <c r="L237" s="307"/>
      <c r="M237" s="308"/>
      <c r="N237" s="323" t="s">
        <v>65</v>
      </c>
      <c r="O237" s="408">
        <f>O238</f>
        <v>172311100</v>
      </c>
      <c r="P237" s="408">
        <f>P238</f>
        <v>0</v>
      </c>
      <c r="Q237" s="408">
        <f>Q238</f>
        <v>0</v>
      </c>
      <c r="R237" s="409">
        <f t="shared" ref="R237:R265" si="135">P237+Q237</f>
        <v>0</v>
      </c>
      <c r="S237" s="408">
        <f>S238</f>
        <v>0</v>
      </c>
      <c r="T237" s="408">
        <f>T238</f>
        <v>0</v>
      </c>
      <c r="U237" s="409">
        <f t="shared" si="130"/>
        <v>0</v>
      </c>
      <c r="V237" s="408">
        <f>V238</f>
        <v>98251950</v>
      </c>
      <c r="W237" s="408">
        <f t="shared" ref="W237" si="136">W238</f>
        <v>44128201</v>
      </c>
      <c r="X237" s="409">
        <f>V237+W237</f>
        <v>142380151</v>
      </c>
      <c r="Y237" s="304">
        <f t="shared" si="133"/>
        <v>142380151</v>
      </c>
      <c r="Z237" s="317">
        <f t="shared" si="134"/>
        <v>29930949</v>
      </c>
      <c r="AA237" s="393"/>
      <c r="AB237" s="267"/>
      <c r="AC237" s="267"/>
      <c r="AD237" s="267"/>
      <c r="AE237" s="267"/>
      <c r="AF237" s="267"/>
      <c r="AG237" s="267"/>
      <c r="AH237" s="267"/>
      <c r="AI237" s="267"/>
      <c r="AJ237" s="267"/>
      <c r="AK237" s="267"/>
      <c r="AL237" s="267"/>
    </row>
    <row r="238" spans="1:38" s="268" customFormat="1" ht="36" customHeight="1">
      <c r="A238" s="379">
        <v>7</v>
      </c>
      <c r="B238" s="380" t="s">
        <v>19</v>
      </c>
      <c r="C238" s="380" t="s">
        <v>30</v>
      </c>
      <c r="D238" s="289">
        <v>2</v>
      </c>
      <c r="E238" s="396" t="s">
        <v>22</v>
      </c>
      <c r="F238" s="396" t="s">
        <v>30</v>
      </c>
      <c r="G238" s="397">
        <v>5</v>
      </c>
      <c r="H238" s="397">
        <v>1</v>
      </c>
      <c r="I238" s="396" t="s">
        <v>22</v>
      </c>
      <c r="J238" s="302" t="s">
        <v>19</v>
      </c>
      <c r="K238" s="302" t="s">
        <v>19</v>
      </c>
      <c r="L238" s="405"/>
      <c r="M238" s="406"/>
      <c r="N238" s="410" t="s">
        <v>131</v>
      </c>
      <c r="O238" s="408">
        <f>SUM(O239:O248)</f>
        <v>172311100</v>
      </c>
      <c r="P238" s="408">
        <f>SUM(P240:P248)</f>
        <v>0</v>
      </c>
      <c r="Q238" s="408">
        <f>SUM(Q240:Q248)</f>
        <v>0</v>
      </c>
      <c r="R238" s="409">
        <f t="shared" si="135"/>
        <v>0</v>
      </c>
      <c r="S238" s="408">
        <f>SUM(S240:S248)</f>
        <v>0</v>
      </c>
      <c r="T238" s="408">
        <f>SUM(T240:T248)</f>
        <v>0</v>
      </c>
      <c r="U238" s="409">
        <f t="shared" si="130"/>
        <v>0</v>
      </c>
      <c r="V238" s="408">
        <f>SUM(V239:V248)</f>
        <v>98251950</v>
      </c>
      <c r="W238" s="408">
        <f>SUM(W239:W248)</f>
        <v>44128201</v>
      </c>
      <c r="X238" s="409">
        <f t="shared" si="131"/>
        <v>142380151</v>
      </c>
      <c r="Y238" s="304">
        <f t="shared" si="133"/>
        <v>142380151</v>
      </c>
      <c r="Z238" s="317">
        <f t="shared" si="134"/>
        <v>29930949</v>
      </c>
      <c r="AA238" s="393"/>
      <c r="AB238" s="267"/>
      <c r="AC238" s="267"/>
      <c r="AD238" s="267"/>
      <c r="AE238" s="267"/>
      <c r="AF238" s="267"/>
      <c r="AG238" s="267"/>
      <c r="AH238" s="267"/>
      <c r="AI238" s="267"/>
      <c r="AJ238" s="267"/>
      <c r="AK238" s="267"/>
      <c r="AL238" s="267"/>
    </row>
    <row r="239" spans="1:38" s="268" customFormat="1" ht="36" customHeight="1">
      <c r="A239" s="384">
        <v>7</v>
      </c>
      <c r="B239" s="385" t="s">
        <v>19</v>
      </c>
      <c r="C239" s="385" t="s">
        <v>30</v>
      </c>
      <c r="D239" s="307">
        <v>2</v>
      </c>
      <c r="E239" s="400" t="s">
        <v>22</v>
      </c>
      <c r="F239" s="400" t="s">
        <v>30</v>
      </c>
      <c r="G239" s="398">
        <v>5</v>
      </c>
      <c r="H239" s="398">
        <v>1</v>
      </c>
      <c r="I239" s="400" t="s">
        <v>22</v>
      </c>
      <c r="J239" s="306" t="s">
        <v>19</v>
      </c>
      <c r="K239" s="306" t="s">
        <v>19</v>
      </c>
      <c r="L239" s="411" t="s">
        <v>171</v>
      </c>
      <c r="M239" s="406">
        <v>2</v>
      </c>
      <c r="N239" s="407" t="s">
        <v>258</v>
      </c>
      <c r="O239" s="401">
        <v>36000000</v>
      </c>
      <c r="P239" s="408"/>
      <c r="Q239" s="408"/>
      <c r="R239" s="409"/>
      <c r="S239" s="408"/>
      <c r="T239" s="408"/>
      <c r="U239" s="409"/>
      <c r="V239" s="401">
        <f>'[1]SPJ FUNGSIONAL '!$X$239</f>
        <v>32510000</v>
      </c>
      <c r="W239" s="401"/>
      <c r="X239" s="340">
        <f t="shared" ref="X239" si="137">V239+W239</f>
        <v>32510000</v>
      </c>
      <c r="Y239" s="311">
        <f t="shared" ref="Y239" si="138">R239+U239+X239</f>
        <v>32510000</v>
      </c>
      <c r="Z239" s="310">
        <f t="shared" si="134"/>
        <v>3490000</v>
      </c>
      <c r="AA239" s="393"/>
      <c r="AB239" s="267"/>
      <c r="AC239" s="267"/>
      <c r="AD239" s="267"/>
      <c r="AE239" s="267"/>
      <c r="AF239" s="267"/>
      <c r="AG239" s="267"/>
      <c r="AH239" s="267"/>
      <c r="AI239" s="267"/>
      <c r="AJ239" s="267"/>
      <c r="AK239" s="267"/>
      <c r="AL239" s="267"/>
    </row>
    <row r="240" spans="1:38" s="268" customFormat="1" ht="36" customHeight="1">
      <c r="A240" s="384">
        <v>7</v>
      </c>
      <c r="B240" s="385" t="s">
        <v>19</v>
      </c>
      <c r="C240" s="385" t="s">
        <v>30</v>
      </c>
      <c r="D240" s="307">
        <v>2</v>
      </c>
      <c r="E240" s="400" t="s">
        <v>22</v>
      </c>
      <c r="F240" s="400" t="s">
        <v>30</v>
      </c>
      <c r="G240" s="398">
        <v>5</v>
      </c>
      <c r="H240" s="398">
        <v>1</v>
      </c>
      <c r="I240" s="400" t="s">
        <v>22</v>
      </c>
      <c r="J240" s="306" t="s">
        <v>19</v>
      </c>
      <c r="K240" s="306" t="s">
        <v>19</v>
      </c>
      <c r="L240" s="411" t="s">
        <v>56</v>
      </c>
      <c r="M240" s="406">
        <v>4</v>
      </c>
      <c r="N240" s="309" t="s">
        <v>132</v>
      </c>
      <c r="O240" s="401">
        <v>20495050</v>
      </c>
      <c r="P240" s="340"/>
      <c r="Q240" s="340"/>
      <c r="R240" s="340">
        <f t="shared" si="135"/>
        <v>0</v>
      </c>
      <c r="S240" s="340"/>
      <c r="T240" s="340"/>
      <c r="U240" s="340">
        <f t="shared" si="130"/>
        <v>0</v>
      </c>
      <c r="V240" s="340">
        <f>'[1]SPJ FUNGSIONAL '!$X$240</f>
        <v>19568050</v>
      </c>
      <c r="W240" s="527">
        <f>-97500</f>
        <v>-97500</v>
      </c>
      <c r="X240" s="340">
        <f t="shared" si="131"/>
        <v>19470550</v>
      </c>
      <c r="Y240" s="311">
        <f t="shared" si="133"/>
        <v>19470550</v>
      </c>
      <c r="Z240" s="310">
        <f t="shared" si="134"/>
        <v>1024500</v>
      </c>
      <c r="AA240" s="393"/>
      <c r="AB240" s="267"/>
      <c r="AC240" s="267"/>
      <c r="AD240" s="267"/>
      <c r="AE240" s="267"/>
      <c r="AF240" s="267"/>
      <c r="AG240" s="267"/>
      <c r="AH240" s="267"/>
      <c r="AI240" s="267"/>
      <c r="AJ240" s="267"/>
      <c r="AK240" s="267"/>
      <c r="AL240" s="267"/>
    </row>
    <row r="241" spans="1:38" s="268" customFormat="1" ht="41.25" customHeight="1">
      <c r="A241" s="384">
        <v>7</v>
      </c>
      <c r="B241" s="385" t="s">
        <v>19</v>
      </c>
      <c r="C241" s="385" t="s">
        <v>30</v>
      </c>
      <c r="D241" s="307">
        <v>2</v>
      </c>
      <c r="E241" s="400" t="s">
        <v>22</v>
      </c>
      <c r="F241" s="400" t="s">
        <v>30</v>
      </c>
      <c r="G241" s="398">
        <v>5</v>
      </c>
      <c r="H241" s="398">
        <v>1</v>
      </c>
      <c r="I241" s="400" t="s">
        <v>22</v>
      </c>
      <c r="J241" s="306" t="s">
        <v>19</v>
      </c>
      <c r="K241" s="306" t="s">
        <v>19</v>
      </c>
      <c r="L241" s="411" t="s">
        <v>56</v>
      </c>
      <c r="M241" s="406">
        <v>5</v>
      </c>
      <c r="N241" s="318" t="s">
        <v>133</v>
      </c>
      <c r="O241" s="401">
        <v>1610000</v>
      </c>
      <c r="P241" s="340"/>
      <c r="Q241" s="340"/>
      <c r="R241" s="340">
        <f t="shared" si="135"/>
        <v>0</v>
      </c>
      <c r="S241" s="340"/>
      <c r="T241" s="340"/>
      <c r="U241" s="340">
        <f t="shared" si="130"/>
        <v>0</v>
      </c>
      <c r="V241" s="340">
        <f>'[1]SPJ FUNGSIONAL '!$X$241</f>
        <v>928000</v>
      </c>
      <c r="W241" s="340">
        <v>110000</v>
      </c>
      <c r="X241" s="340">
        <f t="shared" si="131"/>
        <v>1038000</v>
      </c>
      <c r="Y241" s="311">
        <f t="shared" si="133"/>
        <v>1038000</v>
      </c>
      <c r="Z241" s="310">
        <f t="shared" si="134"/>
        <v>572000</v>
      </c>
      <c r="AA241" s="393"/>
      <c r="AB241" s="267"/>
      <c r="AC241" s="267"/>
      <c r="AD241" s="267"/>
      <c r="AE241" s="267"/>
      <c r="AF241" s="267"/>
      <c r="AG241" s="267"/>
      <c r="AH241" s="267"/>
      <c r="AI241" s="267"/>
      <c r="AJ241" s="267"/>
      <c r="AK241" s="267"/>
      <c r="AL241" s="267"/>
    </row>
    <row r="242" spans="1:38" s="268" customFormat="1" ht="44.25" customHeight="1">
      <c r="A242" s="384">
        <v>7</v>
      </c>
      <c r="B242" s="385" t="s">
        <v>19</v>
      </c>
      <c r="C242" s="385" t="s">
        <v>30</v>
      </c>
      <c r="D242" s="307">
        <v>2</v>
      </c>
      <c r="E242" s="400" t="s">
        <v>22</v>
      </c>
      <c r="F242" s="400" t="s">
        <v>30</v>
      </c>
      <c r="G242" s="398">
        <v>5</v>
      </c>
      <c r="H242" s="398">
        <v>1</v>
      </c>
      <c r="I242" s="400" t="s">
        <v>22</v>
      </c>
      <c r="J242" s="306" t="s">
        <v>19</v>
      </c>
      <c r="K242" s="306" t="s">
        <v>19</v>
      </c>
      <c r="L242" s="411" t="s">
        <v>56</v>
      </c>
      <c r="M242" s="412" t="s">
        <v>89</v>
      </c>
      <c r="N242" s="318" t="s">
        <v>134</v>
      </c>
      <c r="O242" s="401">
        <v>10986050</v>
      </c>
      <c r="P242" s="340"/>
      <c r="Q242" s="340"/>
      <c r="R242" s="340">
        <f t="shared" si="135"/>
        <v>0</v>
      </c>
      <c r="S242" s="340"/>
      <c r="T242" s="340"/>
      <c r="U242" s="340">
        <f t="shared" si="130"/>
        <v>0</v>
      </c>
      <c r="V242" s="340">
        <f>'[1]SPJ FUNGSIONAL '!$X$242</f>
        <v>6295150</v>
      </c>
      <c r="W242" s="527">
        <f>2101350-65000</f>
        <v>2036350</v>
      </c>
      <c r="X242" s="340">
        <f t="shared" si="131"/>
        <v>8331500</v>
      </c>
      <c r="Y242" s="311">
        <f t="shared" si="133"/>
        <v>8331500</v>
      </c>
      <c r="Z242" s="310">
        <f t="shared" si="134"/>
        <v>2654550</v>
      </c>
      <c r="AA242" s="393"/>
      <c r="AB242" s="267"/>
      <c r="AC242" s="267"/>
      <c r="AD242" s="267"/>
      <c r="AE242" s="267"/>
      <c r="AF242" s="267"/>
      <c r="AG242" s="267"/>
      <c r="AH242" s="267"/>
      <c r="AI242" s="267"/>
      <c r="AJ242" s="267"/>
      <c r="AK242" s="267"/>
      <c r="AL242" s="267"/>
    </row>
    <row r="243" spans="1:38" s="268" customFormat="1" ht="39.75" customHeight="1">
      <c r="A243" s="384">
        <v>7</v>
      </c>
      <c r="B243" s="385" t="s">
        <v>19</v>
      </c>
      <c r="C243" s="385" t="s">
        <v>30</v>
      </c>
      <c r="D243" s="307">
        <v>2</v>
      </c>
      <c r="E243" s="400" t="s">
        <v>22</v>
      </c>
      <c r="F243" s="400" t="s">
        <v>30</v>
      </c>
      <c r="G243" s="398">
        <v>5</v>
      </c>
      <c r="H243" s="398">
        <v>1</v>
      </c>
      <c r="I243" s="400" t="s">
        <v>22</v>
      </c>
      <c r="J243" s="306" t="s">
        <v>19</v>
      </c>
      <c r="K243" s="306" t="s">
        <v>19</v>
      </c>
      <c r="L243" s="411" t="s">
        <v>56</v>
      </c>
      <c r="M243" s="406">
        <v>9</v>
      </c>
      <c r="N243" s="318" t="s">
        <v>135</v>
      </c>
      <c r="O243" s="401">
        <v>500000</v>
      </c>
      <c r="P243" s="340"/>
      <c r="Q243" s="340"/>
      <c r="R243" s="340">
        <f t="shared" si="135"/>
        <v>0</v>
      </c>
      <c r="S243" s="340"/>
      <c r="T243" s="340"/>
      <c r="U243" s="340">
        <f t="shared" si="130"/>
        <v>0</v>
      </c>
      <c r="V243" s="340">
        <f>'[1]SPJ FUNGSIONAL '!$X$243</f>
        <v>500000</v>
      </c>
      <c r="W243" s="340"/>
      <c r="X243" s="340">
        <f t="shared" si="131"/>
        <v>500000</v>
      </c>
      <c r="Y243" s="311">
        <f t="shared" si="133"/>
        <v>500000</v>
      </c>
      <c r="Z243" s="310">
        <f t="shared" si="134"/>
        <v>0</v>
      </c>
      <c r="AA243" s="393"/>
      <c r="AB243" s="267"/>
      <c r="AC243" s="267"/>
      <c r="AD243" s="267"/>
      <c r="AE243" s="267"/>
      <c r="AF243" s="267"/>
      <c r="AG243" s="267"/>
      <c r="AH243" s="267"/>
      <c r="AI243" s="267"/>
      <c r="AJ243" s="267"/>
      <c r="AK243" s="267"/>
      <c r="AL243" s="267"/>
    </row>
    <row r="244" spans="1:38" s="268" customFormat="1" ht="43.5" customHeight="1">
      <c r="A244" s="384">
        <v>7</v>
      </c>
      <c r="B244" s="385" t="s">
        <v>19</v>
      </c>
      <c r="C244" s="385" t="s">
        <v>30</v>
      </c>
      <c r="D244" s="307">
        <v>2</v>
      </c>
      <c r="E244" s="400" t="s">
        <v>22</v>
      </c>
      <c r="F244" s="400" t="s">
        <v>30</v>
      </c>
      <c r="G244" s="398">
        <v>5</v>
      </c>
      <c r="H244" s="398">
        <v>1</v>
      </c>
      <c r="I244" s="400" t="s">
        <v>22</v>
      </c>
      <c r="J244" s="306" t="s">
        <v>19</v>
      </c>
      <c r="K244" s="306" t="s">
        <v>19</v>
      </c>
      <c r="L244" s="411" t="s">
        <v>52</v>
      </c>
      <c r="M244" s="406">
        <v>5</v>
      </c>
      <c r="N244" s="318" t="s">
        <v>136</v>
      </c>
      <c r="O244" s="401">
        <v>800000</v>
      </c>
      <c r="P244" s="340"/>
      <c r="Q244" s="340"/>
      <c r="R244" s="340">
        <f t="shared" si="135"/>
        <v>0</v>
      </c>
      <c r="S244" s="340"/>
      <c r="T244" s="340"/>
      <c r="U244" s="340">
        <f t="shared" si="130"/>
        <v>0</v>
      </c>
      <c r="V244" s="340">
        <v>0</v>
      </c>
      <c r="W244" s="340"/>
      <c r="X244" s="340">
        <f t="shared" si="131"/>
        <v>0</v>
      </c>
      <c r="Y244" s="311">
        <f t="shared" si="133"/>
        <v>0</v>
      </c>
      <c r="Z244" s="310">
        <f t="shared" si="134"/>
        <v>800000</v>
      </c>
      <c r="AA244" s="393"/>
      <c r="AB244" s="267"/>
      <c r="AC244" s="267"/>
      <c r="AD244" s="267"/>
      <c r="AE244" s="267"/>
      <c r="AF244" s="267"/>
      <c r="AG244" s="267"/>
      <c r="AH244" s="267"/>
      <c r="AI244" s="267"/>
      <c r="AJ244" s="267"/>
      <c r="AK244" s="267"/>
      <c r="AL244" s="267"/>
    </row>
    <row r="245" spans="1:38" s="268" customFormat="1" ht="41.25" customHeight="1">
      <c r="A245" s="384">
        <v>7</v>
      </c>
      <c r="B245" s="385" t="s">
        <v>19</v>
      </c>
      <c r="C245" s="385" t="s">
        <v>30</v>
      </c>
      <c r="D245" s="307">
        <v>2</v>
      </c>
      <c r="E245" s="400" t="s">
        <v>22</v>
      </c>
      <c r="F245" s="400" t="s">
        <v>30</v>
      </c>
      <c r="G245" s="398">
        <v>5</v>
      </c>
      <c r="H245" s="398">
        <v>1</v>
      </c>
      <c r="I245" s="400" t="s">
        <v>22</v>
      </c>
      <c r="J245" s="306" t="s">
        <v>19</v>
      </c>
      <c r="K245" s="306" t="s">
        <v>19</v>
      </c>
      <c r="L245" s="411" t="s">
        <v>52</v>
      </c>
      <c r="M245" s="406">
        <v>6</v>
      </c>
      <c r="N245" s="318" t="s">
        <v>204</v>
      </c>
      <c r="O245" s="401">
        <v>0</v>
      </c>
      <c r="P245" s="340"/>
      <c r="Q245" s="340"/>
      <c r="R245" s="340"/>
      <c r="S245" s="340"/>
      <c r="T245" s="340"/>
      <c r="U245" s="340"/>
      <c r="V245" s="340">
        <v>0</v>
      </c>
      <c r="W245" s="340"/>
      <c r="X245" s="340">
        <f t="shared" ref="X245" si="139">V245+W245</f>
        <v>0</v>
      </c>
      <c r="Y245" s="311">
        <f t="shared" ref="Y245" si="140">R245+U245+X245</f>
        <v>0</v>
      </c>
      <c r="Z245" s="310">
        <f t="shared" ref="Z245" si="141">O245-Y245</f>
        <v>0</v>
      </c>
      <c r="AA245" s="393"/>
      <c r="AB245" s="267"/>
      <c r="AC245" s="267"/>
      <c r="AD245" s="267"/>
      <c r="AE245" s="267"/>
      <c r="AF245" s="267"/>
      <c r="AG245" s="267"/>
      <c r="AH245" s="267"/>
      <c r="AI245" s="267"/>
      <c r="AJ245" s="267"/>
      <c r="AK245" s="267"/>
      <c r="AL245" s="267"/>
    </row>
    <row r="246" spans="1:38" s="268" customFormat="1" ht="36" customHeight="1">
      <c r="A246" s="384">
        <v>7</v>
      </c>
      <c r="B246" s="385" t="s">
        <v>19</v>
      </c>
      <c r="C246" s="385" t="s">
        <v>30</v>
      </c>
      <c r="D246" s="307">
        <v>2</v>
      </c>
      <c r="E246" s="400" t="s">
        <v>22</v>
      </c>
      <c r="F246" s="400" t="s">
        <v>30</v>
      </c>
      <c r="G246" s="398">
        <v>5</v>
      </c>
      <c r="H246" s="398">
        <v>1</v>
      </c>
      <c r="I246" s="400" t="s">
        <v>22</v>
      </c>
      <c r="J246" s="306" t="s">
        <v>19</v>
      </c>
      <c r="K246" s="306" t="s">
        <v>19</v>
      </c>
      <c r="L246" s="411" t="s">
        <v>66</v>
      </c>
      <c r="M246" s="406">
        <v>2</v>
      </c>
      <c r="N246" s="407" t="s">
        <v>126</v>
      </c>
      <c r="O246" s="401">
        <v>22245000</v>
      </c>
      <c r="P246" s="340"/>
      <c r="Q246" s="340"/>
      <c r="R246" s="340">
        <f t="shared" si="135"/>
        <v>0</v>
      </c>
      <c r="S246" s="340"/>
      <c r="T246" s="340"/>
      <c r="U246" s="340">
        <f t="shared" si="130"/>
        <v>0</v>
      </c>
      <c r="V246" s="340">
        <f>'[1]SPJ FUNGSIONAL '!$X$246</f>
        <v>9552900</v>
      </c>
      <c r="W246" s="340">
        <v>1987650</v>
      </c>
      <c r="X246" s="340">
        <f t="shared" si="131"/>
        <v>11540550</v>
      </c>
      <c r="Y246" s="311">
        <f t="shared" si="133"/>
        <v>11540550</v>
      </c>
      <c r="Z246" s="310">
        <f t="shared" si="134"/>
        <v>10704450</v>
      </c>
      <c r="AA246" s="393"/>
      <c r="AB246" s="267"/>
      <c r="AC246" s="267"/>
      <c r="AD246" s="267"/>
      <c r="AE246" s="267"/>
      <c r="AF246" s="267"/>
      <c r="AG246" s="267"/>
      <c r="AH246" s="267"/>
      <c r="AI246" s="267"/>
      <c r="AJ246" s="267"/>
      <c r="AK246" s="267"/>
      <c r="AL246" s="267"/>
    </row>
    <row r="247" spans="1:38" s="268" customFormat="1" ht="36" customHeight="1">
      <c r="A247" s="384">
        <v>7</v>
      </c>
      <c r="B247" s="385" t="s">
        <v>19</v>
      </c>
      <c r="C247" s="385" t="s">
        <v>30</v>
      </c>
      <c r="D247" s="307">
        <v>2</v>
      </c>
      <c r="E247" s="400" t="s">
        <v>22</v>
      </c>
      <c r="F247" s="400" t="s">
        <v>30</v>
      </c>
      <c r="G247" s="398">
        <v>5</v>
      </c>
      <c r="H247" s="398">
        <v>1</v>
      </c>
      <c r="I247" s="400" t="s">
        <v>22</v>
      </c>
      <c r="J247" s="306" t="s">
        <v>19</v>
      </c>
      <c r="K247" s="306" t="s">
        <v>19</v>
      </c>
      <c r="L247" s="411" t="s">
        <v>66</v>
      </c>
      <c r="M247" s="406">
        <v>8</v>
      </c>
      <c r="N247" s="407" t="s">
        <v>113</v>
      </c>
      <c r="O247" s="401">
        <v>79675000</v>
      </c>
      <c r="P247" s="340"/>
      <c r="Q247" s="340"/>
      <c r="R247" s="340">
        <f t="shared" si="135"/>
        <v>0</v>
      </c>
      <c r="S247" s="340"/>
      <c r="T247" s="340"/>
      <c r="U247" s="340">
        <f t="shared" si="130"/>
        <v>0</v>
      </c>
      <c r="V247" s="340">
        <f>'[1]SPJ FUNGSIONAL '!$X$247</f>
        <v>28897850</v>
      </c>
      <c r="W247" s="527">
        <f>40674901-583200</f>
        <v>40091701</v>
      </c>
      <c r="X247" s="340">
        <f t="shared" si="131"/>
        <v>68989551</v>
      </c>
      <c r="Y247" s="311">
        <f t="shared" si="133"/>
        <v>68989551</v>
      </c>
      <c r="Z247" s="310">
        <f t="shared" si="134"/>
        <v>10685449</v>
      </c>
      <c r="AA247" s="393"/>
      <c r="AB247" s="267"/>
      <c r="AC247" s="267"/>
      <c r="AD247" s="413">
        <f>40091701+583200</f>
        <v>40674901</v>
      </c>
      <c r="AE247" s="267"/>
      <c r="AF247" s="267"/>
      <c r="AG247" s="267"/>
      <c r="AH247" s="267"/>
      <c r="AI247" s="267"/>
      <c r="AJ247" s="267"/>
      <c r="AK247" s="267"/>
      <c r="AL247" s="267"/>
    </row>
    <row r="248" spans="1:38" s="268" customFormat="1" ht="36" customHeight="1">
      <c r="A248" s="384">
        <v>7</v>
      </c>
      <c r="B248" s="385" t="s">
        <v>19</v>
      </c>
      <c r="C248" s="385" t="s">
        <v>30</v>
      </c>
      <c r="D248" s="307">
        <v>2</v>
      </c>
      <c r="E248" s="400" t="s">
        <v>22</v>
      </c>
      <c r="F248" s="400" t="s">
        <v>30</v>
      </c>
      <c r="G248" s="398">
        <v>5</v>
      </c>
      <c r="H248" s="398">
        <v>1</v>
      </c>
      <c r="I248" s="400" t="s">
        <v>22</v>
      </c>
      <c r="J248" s="306" t="s">
        <v>19</v>
      </c>
      <c r="K248" s="306" t="s">
        <v>19</v>
      </c>
      <c r="L248" s="411" t="s">
        <v>128</v>
      </c>
      <c r="M248" s="406">
        <v>5</v>
      </c>
      <c r="N248" s="407" t="s">
        <v>129</v>
      </c>
      <c r="O248" s="401">
        <v>0</v>
      </c>
      <c r="P248" s="340"/>
      <c r="Q248" s="340"/>
      <c r="R248" s="340">
        <f t="shared" si="135"/>
        <v>0</v>
      </c>
      <c r="S248" s="340"/>
      <c r="T248" s="340"/>
      <c r="U248" s="340">
        <f t="shared" si="130"/>
        <v>0</v>
      </c>
      <c r="V248" s="340"/>
      <c r="W248" s="340"/>
      <c r="X248" s="340">
        <f t="shared" si="131"/>
        <v>0</v>
      </c>
      <c r="Y248" s="311">
        <f t="shared" si="133"/>
        <v>0</v>
      </c>
      <c r="Z248" s="310">
        <f t="shared" si="134"/>
        <v>0</v>
      </c>
      <c r="AA248" s="393"/>
      <c r="AB248" s="267"/>
      <c r="AC248" s="267"/>
      <c r="AD248" s="267"/>
      <c r="AE248" s="267"/>
      <c r="AF248" s="267"/>
      <c r="AG248" s="267"/>
      <c r="AH248" s="267"/>
      <c r="AI248" s="267"/>
      <c r="AJ248" s="267"/>
      <c r="AK248" s="267"/>
      <c r="AL248" s="267"/>
    </row>
    <row r="249" spans="1:38" s="268" customFormat="1" ht="36" customHeight="1">
      <c r="A249" s="379">
        <v>7</v>
      </c>
      <c r="B249" s="380" t="s">
        <v>19</v>
      </c>
      <c r="C249" s="380" t="s">
        <v>30</v>
      </c>
      <c r="D249" s="289">
        <v>2</v>
      </c>
      <c r="E249" s="396" t="s">
        <v>22</v>
      </c>
      <c r="F249" s="396" t="s">
        <v>30</v>
      </c>
      <c r="G249" s="397">
        <v>5</v>
      </c>
      <c r="H249" s="397">
        <v>1</v>
      </c>
      <c r="I249" s="396" t="s">
        <v>22</v>
      </c>
      <c r="J249" s="302" t="s">
        <v>22</v>
      </c>
      <c r="K249" s="307"/>
      <c r="L249" s="307"/>
      <c r="M249" s="308"/>
      <c r="N249" s="323" t="s">
        <v>137</v>
      </c>
      <c r="O249" s="408">
        <f>O250</f>
        <v>238180000</v>
      </c>
      <c r="P249" s="408">
        <f t="shared" ref="P249:T249" si="142">P250</f>
        <v>0</v>
      </c>
      <c r="Q249" s="408">
        <f t="shared" si="142"/>
        <v>0</v>
      </c>
      <c r="R249" s="340">
        <f t="shared" si="135"/>
        <v>0</v>
      </c>
      <c r="S249" s="408">
        <f t="shared" si="142"/>
        <v>0</v>
      </c>
      <c r="T249" s="408">
        <f t="shared" si="142"/>
        <v>0</v>
      </c>
      <c r="U249" s="340">
        <f t="shared" si="130"/>
        <v>0</v>
      </c>
      <c r="V249" s="408">
        <f t="shared" ref="V249:W249" si="143">V250</f>
        <v>168530000</v>
      </c>
      <c r="W249" s="408">
        <f t="shared" si="143"/>
        <v>61050000</v>
      </c>
      <c r="X249" s="409">
        <f t="shared" si="131"/>
        <v>229580000</v>
      </c>
      <c r="Y249" s="304">
        <f t="shared" si="133"/>
        <v>229580000</v>
      </c>
      <c r="Z249" s="317">
        <f t="shared" si="134"/>
        <v>8600000</v>
      </c>
      <c r="AA249" s="393"/>
      <c r="AB249" s="267"/>
      <c r="AC249" s="267"/>
      <c r="AD249" s="267"/>
      <c r="AE249" s="267"/>
      <c r="AF249" s="267"/>
      <c r="AG249" s="267"/>
      <c r="AH249" s="267"/>
      <c r="AI249" s="267"/>
      <c r="AJ249" s="267"/>
      <c r="AK249" s="267"/>
      <c r="AL249" s="267"/>
    </row>
    <row r="250" spans="1:38" s="268" customFormat="1" ht="36" customHeight="1">
      <c r="A250" s="379">
        <v>7</v>
      </c>
      <c r="B250" s="380" t="s">
        <v>19</v>
      </c>
      <c r="C250" s="380" t="s">
        <v>30</v>
      </c>
      <c r="D250" s="289">
        <v>2</v>
      </c>
      <c r="E250" s="396" t="s">
        <v>22</v>
      </c>
      <c r="F250" s="396" t="s">
        <v>30</v>
      </c>
      <c r="G250" s="397">
        <v>5</v>
      </c>
      <c r="H250" s="397">
        <v>1</v>
      </c>
      <c r="I250" s="396" t="s">
        <v>22</v>
      </c>
      <c r="J250" s="302" t="s">
        <v>22</v>
      </c>
      <c r="K250" s="302" t="s">
        <v>19</v>
      </c>
      <c r="L250" s="307"/>
      <c r="M250" s="308"/>
      <c r="N250" s="410" t="s">
        <v>76</v>
      </c>
      <c r="O250" s="408">
        <f>SUM(O251:O255)</f>
        <v>238180000</v>
      </c>
      <c r="P250" s="408">
        <f t="shared" ref="P250:U250" si="144">SUM(P251:P255)</f>
        <v>0</v>
      </c>
      <c r="Q250" s="408">
        <f t="shared" si="144"/>
        <v>0</v>
      </c>
      <c r="R250" s="340">
        <f t="shared" si="135"/>
        <v>0</v>
      </c>
      <c r="S250" s="408">
        <f t="shared" si="144"/>
        <v>0</v>
      </c>
      <c r="T250" s="408">
        <f t="shared" si="144"/>
        <v>0</v>
      </c>
      <c r="U250" s="408">
        <f t="shared" si="144"/>
        <v>0</v>
      </c>
      <c r="V250" s="408">
        <f>SUM(V251:V255)</f>
        <v>168530000</v>
      </c>
      <c r="W250" s="408">
        <f>SUM(W251:W255)</f>
        <v>61050000</v>
      </c>
      <c r="X250" s="409">
        <f t="shared" si="131"/>
        <v>229580000</v>
      </c>
      <c r="Y250" s="304">
        <f t="shared" si="133"/>
        <v>229580000</v>
      </c>
      <c r="Z250" s="317">
        <f t="shared" si="134"/>
        <v>8600000</v>
      </c>
      <c r="AA250" s="393"/>
      <c r="AB250" s="267"/>
      <c r="AC250" s="267"/>
      <c r="AD250" s="267"/>
      <c r="AE250" s="267"/>
      <c r="AF250" s="267"/>
      <c r="AG250" s="267"/>
      <c r="AH250" s="267"/>
      <c r="AI250" s="267"/>
      <c r="AJ250" s="267"/>
      <c r="AK250" s="267"/>
      <c r="AL250" s="267"/>
    </row>
    <row r="251" spans="1:38" s="268" customFormat="1" ht="39.75" customHeight="1">
      <c r="A251" s="384">
        <v>7</v>
      </c>
      <c r="B251" s="385" t="s">
        <v>19</v>
      </c>
      <c r="C251" s="385" t="s">
        <v>30</v>
      </c>
      <c r="D251" s="307">
        <v>2</v>
      </c>
      <c r="E251" s="400" t="s">
        <v>22</v>
      </c>
      <c r="F251" s="400" t="s">
        <v>30</v>
      </c>
      <c r="G251" s="398">
        <v>5</v>
      </c>
      <c r="H251" s="398">
        <v>1</v>
      </c>
      <c r="I251" s="400" t="s">
        <v>22</v>
      </c>
      <c r="J251" s="306" t="s">
        <v>22</v>
      </c>
      <c r="K251" s="306" t="s">
        <v>19</v>
      </c>
      <c r="L251" s="306" t="s">
        <v>27</v>
      </c>
      <c r="M251" s="414">
        <v>3</v>
      </c>
      <c r="N251" s="407" t="s">
        <v>152</v>
      </c>
      <c r="O251" s="401">
        <v>80500000</v>
      </c>
      <c r="P251" s="408"/>
      <c r="Q251" s="408"/>
      <c r="R251" s="340">
        <f t="shared" si="135"/>
        <v>0</v>
      </c>
      <c r="S251" s="408"/>
      <c r="T251" s="408"/>
      <c r="U251" s="409"/>
      <c r="V251" s="401">
        <f>'[1]SPJ FUNGSIONAL '!$X$251</f>
        <v>52850000</v>
      </c>
      <c r="W251" s="401">
        <v>26050000</v>
      </c>
      <c r="X251" s="340">
        <f>SUM(V251:W251)</f>
        <v>78900000</v>
      </c>
      <c r="Y251" s="311">
        <f t="shared" ref="Y251" si="145">R251+U251+X251</f>
        <v>78900000</v>
      </c>
      <c r="Z251" s="310">
        <f t="shared" ref="Z251" si="146">O251-Y251</f>
        <v>1600000</v>
      </c>
      <c r="AA251" s="393"/>
      <c r="AB251" s="267"/>
      <c r="AC251" s="267"/>
      <c r="AD251" s="267"/>
      <c r="AE251" s="267"/>
      <c r="AF251" s="267"/>
      <c r="AG251" s="267"/>
      <c r="AH251" s="267"/>
      <c r="AI251" s="267"/>
      <c r="AJ251" s="267"/>
      <c r="AK251" s="267"/>
      <c r="AL251" s="267"/>
    </row>
    <row r="252" spans="1:38" s="268" customFormat="1" ht="36" customHeight="1">
      <c r="A252" s="384">
        <v>7</v>
      </c>
      <c r="B252" s="385" t="s">
        <v>19</v>
      </c>
      <c r="C252" s="385" t="s">
        <v>30</v>
      </c>
      <c r="D252" s="307">
        <v>2</v>
      </c>
      <c r="E252" s="400" t="s">
        <v>22</v>
      </c>
      <c r="F252" s="400" t="s">
        <v>30</v>
      </c>
      <c r="G252" s="398">
        <v>5</v>
      </c>
      <c r="H252" s="398">
        <v>1</v>
      </c>
      <c r="I252" s="400" t="s">
        <v>22</v>
      </c>
      <c r="J252" s="306" t="s">
        <v>22</v>
      </c>
      <c r="K252" s="306" t="s">
        <v>19</v>
      </c>
      <c r="L252" s="306" t="s">
        <v>27</v>
      </c>
      <c r="M252" s="414" t="s">
        <v>89</v>
      </c>
      <c r="N252" s="407" t="s">
        <v>138</v>
      </c>
      <c r="O252" s="401">
        <v>108000000</v>
      </c>
      <c r="P252" s="340"/>
      <c r="Q252" s="340"/>
      <c r="R252" s="340">
        <f t="shared" si="135"/>
        <v>0</v>
      </c>
      <c r="S252" s="340"/>
      <c r="T252" s="340"/>
      <c r="U252" s="340">
        <f t="shared" si="130"/>
        <v>0</v>
      </c>
      <c r="V252" s="340">
        <f>'[1]SPJ FUNGSIONAL '!$X$252</f>
        <v>85000000</v>
      </c>
      <c r="W252" s="340">
        <v>16000000</v>
      </c>
      <c r="X252" s="340">
        <f t="shared" si="131"/>
        <v>101000000</v>
      </c>
      <c r="Y252" s="311">
        <f t="shared" si="133"/>
        <v>101000000</v>
      </c>
      <c r="Z252" s="310">
        <f t="shared" si="134"/>
        <v>7000000</v>
      </c>
      <c r="AA252" s="393"/>
      <c r="AB252" s="267"/>
      <c r="AC252" s="267"/>
      <c r="AD252" s="267"/>
      <c r="AE252" s="267"/>
      <c r="AF252" s="267"/>
      <c r="AG252" s="267"/>
      <c r="AH252" s="267"/>
      <c r="AI252" s="267"/>
      <c r="AJ252" s="267"/>
      <c r="AK252" s="267"/>
      <c r="AL252" s="267"/>
    </row>
    <row r="253" spans="1:38" s="268" customFormat="1" ht="36" customHeight="1">
      <c r="A253" s="384">
        <v>7</v>
      </c>
      <c r="B253" s="385" t="s">
        <v>19</v>
      </c>
      <c r="C253" s="385" t="s">
        <v>30</v>
      </c>
      <c r="D253" s="307">
        <v>2</v>
      </c>
      <c r="E253" s="400" t="s">
        <v>22</v>
      </c>
      <c r="F253" s="400" t="s">
        <v>30</v>
      </c>
      <c r="G253" s="398">
        <v>5</v>
      </c>
      <c r="H253" s="398">
        <v>1</v>
      </c>
      <c r="I253" s="400" t="s">
        <v>22</v>
      </c>
      <c r="J253" s="306" t="s">
        <v>22</v>
      </c>
      <c r="K253" s="306" t="s">
        <v>19</v>
      </c>
      <c r="L253" s="306" t="s">
        <v>56</v>
      </c>
      <c r="M253" s="414">
        <v>5</v>
      </c>
      <c r="N253" s="407" t="s">
        <v>287</v>
      </c>
      <c r="O253" s="401">
        <v>10000000</v>
      </c>
      <c r="P253" s="340"/>
      <c r="Q253" s="340"/>
      <c r="R253" s="340"/>
      <c r="S253" s="340"/>
      <c r="T253" s="340"/>
      <c r="U253" s="340"/>
      <c r="V253" s="340"/>
      <c r="W253" s="340">
        <v>10000000</v>
      </c>
      <c r="X253" s="340">
        <f t="shared" ref="X253:X254" si="147">V253+W253</f>
        <v>10000000</v>
      </c>
      <c r="Y253" s="311">
        <f t="shared" ref="Y253:Y254" si="148">R253+U253+X253</f>
        <v>10000000</v>
      </c>
      <c r="Z253" s="310">
        <f t="shared" ref="Z253:Z254" si="149">O253-Y253</f>
        <v>0</v>
      </c>
      <c r="AA253" s="393"/>
      <c r="AB253" s="267"/>
      <c r="AC253" s="267"/>
      <c r="AD253" s="267"/>
      <c r="AE253" s="267"/>
      <c r="AF253" s="267"/>
      <c r="AG253" s="267"/>
      <c r="AH253" s="267"/>
      <c r="AI253" s="267"/>
      <c r="AJ253" s="267"/>
      <c r="AK253" s="267"/>
      <c r="AL253" s="267"/>
    </row>
    <row r="254" spans="1:38" s="268" customFormat="1" ht="36" customHeight="1">
      <c r="A254" s="384">
        <v>7</v>
      </c>
      <c r="B254" s="385" t="s">
        <v>19</v>
      </c>
      <c r="C254" s="385" t="s">
        <v>30</v>
      </c>
      <c r="D254" s="307">
        <v>2</v>
      </c>
      <c r="E254" s="400" t="s">
        <v>22</v>
      </c>
      <c r="F254" s="400" t="s">
        <v>30</v>
      </c>
      <c r="G254" s="398">
        <v>5</v>
      </c>
      <c r="H254" s="398">
        <v>1</v>
      </c>
      <c r="I254" s="400" t="s">
        <v>22</v>
      </c>
      <c r="J254" s="306" t="s">
        <v>22</v>
      </c>
      <c r="K254" s="306" t="s">
        <v>19</v>
      </c>
      <c r="L254" s="306" t="s">
        <v>56</v>
      </c>
      <c r="M254" s="414">
        <v>7</v>
      </c>
      <c r="N254" s="407" t="s">
        <v>288</v>
      </c>
      <c r="O254" s="401">
        <v>16430000</v>
      </c>
      <c r="P254" s="340"/>
      <c r="Q254" s="340"/>
      <c r="R254" s="340"/>
      <c r="S254" s="340"/>
      <c r="T254" s="340"/>
      <c r="U254" s="340"/>
      <c r="V254" s="340">
        <f>'[1]SPJ FUNGSIONAL '!$X$254</f>
        <v>16430000</v>
      </c>
      <c r="W254" s="340"/>
      <c r="X254" s="340">
        <f t="shared" si="147"/>
        <v>16430000</v>
      </c>
      <c r="Y254" s="311">
        <f t="shared" si="148"/>
        <v>16430000</v>
      </c>
      <c r="Z254" s="310">
        <f t="shared" si="149"/>
        <v>0</v>
      </c>
      <c r="AA254" s="393"/>
      <c r="AB254" s="267"/>
      <c r="AC254" s="267"/>
      <c r="AD254" s="267"/>
      <c r="AE254" s="267"/>
      <c r="AF254" s="267"/>
      <c r="AG254" s="267"/>
      <c r="AH254" s="267"/>
      <c r="AI254" s="267"/>
      <c r="AJ254" s="267"/>
      <c r="AK254" s="267"/>
      <c r="AL254" s="267"/>
    </row>
    <row r="255" spans="1:38" s="268" customFormat="1" ht="36" customHeight="1">
      <c r="A255" s="384">
        <v>7</v>
      </c>
      <c r="B255" s="385" t="s">
        <v>19</v>
      </c>
      <c r="C255" s="385" t="s">
        <v>30</v>
      </c>
      <c r="D255" s="307">
        <v>2</v>
      </c>
      <c r="E255" s="400" t="s">
        <v>22</v>
      </c>
      <c r="F255" s="400" t="s">
        <v>30</v>
      </c>
      <c r="G255" s="398">
        <v>5</v>
      </c>
      <c r="H255" s="398">
        <v>1</v>
      </c>
      <c r="I255" s="400" t="s">
        <v>22</v>
      </c>
      <c r="J255" s="306" t="s">
        <v>22</v>
      </c>
      <c r="K255" s="306" t="s">
        <v>19</v>
      </c>
      <c r="L255" s="306" t="s">
        <v>52</v>
      </c>
      <c r="M255" s="414">
        <v>7</v>
      </c>
      <c r="N255" s="407" t="s">
        <v>268</v>
      </c>
      <c r="O255" s="401">
        <v>23250000</v>
      </c>
      <c r="P255" s="340"/>
      <c r="Q255" s="340"/>
      <c r="R255" s="340">
        <f t="shared" si="135"/>
        <v>0</v>
      </c>
      <c r="S255" s="340"/>
      <c r="T255" s="340"/>
      <c r="U255" s="340"/>
      <c r="V255" s="340">
        <f>'[7]SPJ FUNGSIONAL '!$X$252</f>
        <v>14250000</v>
      </c>
      <c r="W255" s="340">
        <v>9000000</v>
      </c>
      <c r="X255" s="340">
        <f t="shared" ref="X255" si="150">V255+W255</f>
        <v>23250000</v>
      </c>
      <c r="Y255" s="311">
        <f t="shared" ref="Y255" si="151">R255+U255+X255</f>
        <v>23250000</v>
      </c>
      <c r="Z255" s="310">
        <f t="shared" ref="Z255" si="152">O255-Y255</f>
        <v>0</v>
      </c>
      <c r="AA255" s="393"/>
      <c r="AB255" s="267"/>
      <c r="AC255" s="267"/>
      <c r="AD255" s="267"/>
      <c r="AE255" s="267"/>
      <c r="AF255" s="267"/>
      <c r="AG255" s="267"/>
      <c r="AH255" s="267"/>
      <c r="AI255" s="267"/>
      <c r="AJ255" s="267"/>
      <c r="AK255" s="267"/>
      <c r="AL255" s="267"/>
    </row>
    <row r="256" spans="1:38" s="429" customFormat="1" ht="36" customHeight="1">
      <c r="A256" s="379">
        <v>7</v>
      </c>
      <c r="B256" s="380" t="s">
        <v>19</v>
      </c>
      <c r="C256" s="380" t="s">
        <v>30</v>
      </c>
      <c r="D256" s="289">
        <v>2</v>
      </c>
      <c r="E256" s="396" t="s">
        <v>22</v>
      </c>
      <c r="F256" s="396" t="s">
        <v>30</v>
      </c>
      <c r="G256" s="397">
        <v>5</v>
      </c>
      <c r="H256" s="397">
        <v>1</v>
      </c>
      <c r="I256" s="396" t="s">
        <v>22</v>
      </c>
      <c r="J256" s="302" t="s">
        <v>22</v>
      </c>
      <c r="K256" s="302" t="s">
        <v>19</v>
      </c>
      <c r="L256" s="302" t="s">
        <v>100</v>
      </c>
      <c r="M256" s="520"/>
      <c r="N256" s="410" t="s">
        <v>263</v>
      </c>
      <c r="O256" s="408">
        <f>O257+O258</f>
        <v>6900000</v>
      </c>
      <c r="P256" s="409"/>
      <c r="Q256" s="409"/>
      <c r="R256" s="409"/>
      <c r="S256" s="409"/>
      <c r="T256" s="409"/>
      <c r="U256" s="409"/>
      <c r="V256" s="409">
        <f>V257+V258</f>
        <v>0</v>
      </c>
      <c r="W256" s="409">
        <f t="shared" ref="W256:X256" si="153">W257+W258</f>
        <v>6900000</v>
      </c>
      <c r="X256" s="409">
        <f t="shared" si="153"/>
        <v>6900000</v>
      </c>
      <c r="Y256" s="304">
        <f t="shared" ref="Y256:Y258" si="154">R256+U256+X256</f>
        <v>6900000</v>
      </c>
      <c r="Z256" s="317">
        <f t="shared" ref="Z256:Z258" si="155">O256-Y256</f>
        <v>0</v>
      </c>
      <c r="AA256" s="427"/>
      <c r="AB256" s="428"/>
      <c r="AC256" s="428"/>
      <c r="AD256" s="428"/>
      <c r="AE256" s="428"/>
      <c r="AF256" s="428"/>
      <c r="AG256" s="428"/>
      <c r="AH256" s="428"/>
      <c r="AI256" s="428"/>
      <c r="AJ256" s="428"/>
      <c r="AK256" s="428"/>
      <c r="AL256" s="428"/>
    </row>
    <row r="257" spans="1:38" s="268" customFormat="1" ht="36" customHeight="1">
      <c r="A257" s="384">
        <v>7</v>
      </c>
      <c r="B257" s="385" t="s">
        <v>19</v>
      </c>
      <c r="C257" s="385" t="s">
        <v>30</v>
      </c>
      <c r="D257" s="307">
        <v>2</v>
      </c>
      <c r="E257" s="400" t="s">
        <v>22</v>
      </c>
      <c r="F257" s="400" t="s">
        <v>30</v>
      </c>
      <c r="G257" s="398">
        <v>5</v>
      </c>
      <c r="H257" s="398">
        <v>1</v>
      </c>
      <c r="I257" s="400" t="s">
        <v>22</v>
      </c>
      <c r="J257" s="306" t="s">
        <v>22</v>
      </c>
      <c r="K257" s="306" t="s">
        <v>19</v>
      </c>
      <c r="L257" s="306" t="s">
        <v>100</v>
      </c>
      <c r="M257" s="414">
        <v>7</v>
      </c>
      <c r="N257" s="407" t="s">
        <v>264</v>
      </c>
      <c r="O257" s="401">
        <v>3900000</v>
      </c>
      <c r="P257" s="340"/>
      <c r="Q257" s="340"/>
      <c r="R257" s="340"/>
      <c r="S257" s="340"/>
      <c r="T257" s="340"/>
      <c r="U257" s="340"/>
      <c r="V257" s="340"/>
      <c r="W257" s="340">
        <v>3900000</v>
      </c>
      <c r="X257" s="340">
        <f t="shared" ref="X257:X258" si="156">V257+W257</f>
        <v>3900000</v>
      </c>
      <c r="Y257" s="311">
        <f t="shared" si="154"/>
        <v>3900000</v>
      </c>
      <c r="Z257" s="310">
        <f t="shared" si="155"/>
        <v>0</v>
      </c>
      <c r="AA257" s="393"/>
      <c r="AB257" s="267"/>
      <c r="AC257" s="267"/>
      <c r="AD257" s="267"/>
      <c r="AE257" s="267"/>
      <c r="AF257" s="267"/>
      <c r="AG257" s="267"/>
      <c r="AH257" s="267"/>
      <c r="AI257" s="267"/>
      <c r="AJ257" s="267"/>
      <c r="AK257" s="267"/>
      <c r="AL257" s="267"/>
    </row>
    <row r="258" spans="1:38" s="268" customFormat="1" ht="36" customHeight="1">
      <c r="A258" s="384">
        <v>7</v>
      </c>
      <c r="B258" s="385" t="s">
        <v>19</v>
      </c>
      <c r="C258" s="385" t="s">
        <v>30</v>
      </c>
      <c r="D258" s="307">
        <v>2</v>
      </c>
      <c r="E258" s="400" t="s">
        <v>22</v>
      </c>
      <c r="F258" s="400" t="s">
        <v>30</v>
      </c>
      <c r="G258" s="398">
        <v>5</v>
      </c>
      <c r="H258" s="398">
        <v>1</v>
      </c>
      <c r="I258" s="400" t="s">
        <v>22</v>
      </c>
      <c r="J258" s="306" t="s">
        <v>22</v>
      </c>
      <c r="K258" s="306" t="s">
        <v>19</v>
      </c>
      <c r="L258" s="306" t="s">
        <v>289</v>
      </c>
      <c r="M258" s="414">
        <v>2</v>
      </c>
      <c r="N258" s="407" t="s">
        <v>290</v>
      </c>
      <c r="O258" s="401">
        <v>3000000</v>
      </c>
      <c r="P258" s="340"/>
      <c r="Q258" s="340"/>
      <c r="R258" s="340"/>
      <c r="S258" s="340"/>
      <c r="T258" s="340"/>
      <c r="U258" s="340"/>
      <c r="V258" s="340"/>
      <c r="W258" s="340">
        <v>3000000</v>
      </c>
      <c r="X258" s="340">
        <f t="shared" si="156"/>
        <v>3000000</v>
      </c>
      <c r="Y258" s="311">
        <f t="shared" si="154"/>
        <v>3000000</v>
      </c>
      <c r="Z258" s="310">
        <f t="shared" si="155"/>
        <v>0</v>
      </c>
      <c r="AA258" s="393"/>
      <c r="AB258" s="267"/>
      <c r="AC258" s="267"/>
      <c r="AD258" s="267"/>
      <c r="AE258" s="267"/>
      <c r="AF258" s="267"/>
      <c r="AG258" s="267"/>
      <c r="AH258" s="267"/>
      <c r="AI258" s="267"/>
      <c r="AJ258" s="267"/>
      <c r="AK258" s="267"/>
      <c r="AL258" s="267"/>
    </row>
    <row r="259" spans="1:38" s="268" customFormat="1" ht="36" customHeight="1">
      <c r="A259" s="379">
        <v>7</v>
      </c>
      <c r="B259" s="380" t="s">
        <v>19</v>
      </c>
      <c r="C259" s="380" t="s">
        <v>30</v>
      </c>
      <c r="D259" s="289">
        <v>2</v>
      </c>
      <c r="E259" s="302" t="s">
        <v>22</v>
      </c>
      <c r="F259" s="302" t="s">
        <v>30</v>
      </c>
      <c r="G259" s="289">
        <v>5</v>
      </c>
      <c r="H259" s="289">
        <v>1</v>
      </c>
      <c r="I259" s="302" t="s">
        <v>22</v>
      </c>
      <c r="J259" s="302" t="s">
        <v>54</v>
      </c>
      <c r="K259" s="289"/>
      <c r="L259" s="307"/>
      <c r="M259" s="308"/>
      <c r="N259" s="410" t="s">
        <v>68</v>
      </c>
      <c r="O259" s="408">
        <f>O260</f>
        <v>95689700</v>
      </c>
      <c r="P259" s="408">
        <f>P260</f>
        <v>0</v>
      </c>
      <c r="Q259" s="408">
        <f>Q260</f>
        <v>0</v>
      </c>
      <c r="R259" s="340">
        <f t="shared" si="135"/>
        <v>0</v>
      </c>
      <c r="S259" s="408">
        <f>S260</f>
        <v>0</v>
      </c>
      <c r="T259" s="408">
        <f>T260</f>
        <v>0</v>
      </c>
      <c r="U259" s="409">
        <f t="shared" si="130"/>
        <v>0</v>
      </c>
      <c r="V259" s="408">
        <f>V260</f>
        <v>74650480</v>
      </c>
      <c r="W259" s="408">
        <f>W260</f>
        <v>7985350</v>
      </c>
      <c r="X259" s="409">
        <f t="shared" si="131"/>
        <v>82635830</v>
      </c>
      <c r="Y259" s="304">
        <f t="shared" si="133"/>
        <v>82635830</v>
      </c>
      <c r="Z259" s="317">
        <f t="shared" si="134"/>
        <v>13053870</v>
      </c>
      <c r="AA259" s="393"/>
      <c r="AB259" s="267"/>
      <c r="AC259" s="267"/>
      <c r="AD259" s="267"/>
      <c r="AE259" s="267"/>
      <c r="AF259" s="267"/>
      <c r="AG259" s="267"/>
      <c r="AH259" s="267"/>
      <c r="AI259" s="267"/>
      <c r="AJ259" s="267"/>
      <c r="AK259" s="267"/>
      <c r="AL259" s="267"/>
    </row>
    <row r="260" spans="1:38" s="268" customFormat="1" ht="36" customHeight="1">
      <c r="A260" s="379">
        <v>7</v>
      </c>
      <c r="B260" s="380" t="s">
        <v>19</v>
      </c>
      <c r="C260" s="380" t="s">
        <v>30</v>
      </c>
      <c r="D260" s="289">
        <v>2</v>
      </c>
      <c r="E260" s="302" t="s">
        <v>22</v>
      </c>
      <c r="F260" s="302" t="s">
        <v>30</v>
      </c>
      <c r="G260" s="289">
        <v>5</v>
      </c>
      <c r="H260" s="289">
        <v>1</v>
      </c>
      <c r="I260" s="302" t="s">
        <v>22</v>
      </c>
      <c r="J260" s="302" t="s">
        <v>54</v>
      </c>
      <c r="K260" s="302" t="s">
        <v>19</v>
      </c>
      <c r="L260" s="307"/>
      <c r="M260" s="308"/>
      <c r="N260" s="410" t="s">
        <v>69</v>
      </c>
      <c r="O260" s="408">
        <f>SUM(O261:O262)</f>
        <v>95689700</v>
      </c>
      <c r="P260" s="408">
        <f>SUM(P261:P262)</f>
        <v>0</v>
      </c>
      <c r="Q260" s="408">
        <f>SUM(Q261:Q262)</f>
        <v>0</v>
      </c>
      <c r="R260" s="409">
        <f t="shared" si="135"/>
        <v>0</v>
      </c>
      <c r="S260" s="408">
        <f>SUM(S261:S262)</f>
        <v>0</v>
      </c>
      <c r="T260" s="408">
        <f>SUM(T261:T262)</f>
        <v>0</v>
      </c>
      <c r="U260" s="409">
        <f t="shared" si="130"/>
        <v>0</v>
      </c>
      <c r="V260" s="408">
        <f>SUM(V261:V262)</f>
        <v>74650480</v>
      </c>
      <c r="W260" s="408">
        <f>SUM(W261:W262)</f>
        <v>7985350</v>
      </c>
      <c r="X260" s="409">
        <f t="shared" si="131"/>
        <v>82635830</v>
      </c>
      <c r="Y260" s="304">
        <f t="shared" si="133"/>
        <v>82635830</v>
      </c>
      <c r="Z260" s="317">
        <f t="shared" si="134"/>
        <v>13053870</v>
      </c>
      <c r="AA260" s="393"/>
      <c r="AB260" s="267"/>
      <c r="AC260" s="267"/>
      <c r="AD260" s="267"/>
      <c r="AE260" s="267"/>
      <c r="AF260" s="267"/>
      <c r="AG260" s="267"/>
      <c r="AH260" s="267"/>
      <c r="AI260" s="267"/>
      <c r="AJ260" s="267"/>
      <c r="AK260" s="267"/>
      <c r="AL260" s="267"/>
    </row>
    <row r="261" spans="1:38" s="268" customFormat="1" ht="36" customHeight="1">
      <c r="A261" s="384">
        <v>7</v>
      </c>
      <c r="B261" s="385" t="s">
        <v>19</v>
      </c>
      <c r="C261" s="385" t="s">
        <v>30</v>
      </c>
      <c r="D261" s="307">
        <v>2</v>
      </c>
      <c r="E261" s="306" t="s">
        <v>22</v>
      </c>
      <c r="F261" s="306" t="s">
        <v>30</v>
      </c>
      <c r="G261" s="307">
        <v>5</v>
      </c>
      <c r="H261" s="307">
        <v>1</v>
      </c>
      <c r="I261" s="306" t="s">
        <v>22</v>
      </c>
      <c r="J261" s="306" t="s">
        <v>54</v>
      </c>
      <c r="K261" s="306" t="s">
        <v>19</v>
      </c>
      <c r="L261" s="306" t="s">
        <v>27</v>
      </c>
      <c r="M261" s="414" t="s">
        <v>10</v>
      </c>
      <c r="N261" s="407" t="s">
        <v>70</v>
      </c>
      <c r="O261" s="401">
        <v>62089700</v>
      </c>
      <c r="P261" s="340"/>
      <c r="Q261" s="340"/>
      <c r="R261" s="340">
        <f t="shared" si="135"/>
        <v>0</v>
      </c>
      <c r="S261" s="340"/>
      <c r="T261" s="340"/>
      <c r="U261" s="340">
        <f t="shared" si="130"/>
        <v>0</v>
      </c>
      <c r="V261" s="340">
        <f>'[1]SPJ FUNGSIONAL '!$X$261</f>
        <v>55000480</v>
      </c>
      <c r="W261" s="340">
        <v>385350</v>
      </c>
      <c r="X261" s="340">
        <f t="shared" si="131"/>
        <v>55385830</v>
      </c>
      <c r="Y261" s="311">
        <f t="shared" si="133"/>
        <v>55385830</v>
      </c>
      <c r="Z261" s="310">
        <f t="shared" si="134"/>
        <v>6703870</v>
      </c>
      <c r="AA261" s="393"/>
      <c r="AB261" s="267"/>
      <c r="AC261" s="267"/>
      <c r="AD261" s="267"/>
      <c r="AE261" s="267"/>
      <c r="AF261" s="267"/>
      <c r="AG261" s="267"/>
      <c r="AH261" s="267"/>
      <c r="AI261" s="267"/>
      <c r="AJ261" s="267"/>
      <c r="AK261" s="267"/>
      <c r="AL261" s="267"/>
    </row>
    <row r="262" spans="1:38" s="268" customFormat="1" ht="36" customHeight="1">
      <c r="A262" s="384">
        <v>7</v>
      </c>
      <c r="B262" s="385" t="s">
        <v>19</v>
      </c>
      <c r="C262" s="385" t="s">
        <v>30</v>
      </c>
      <c r="D262" s="307">
        <v>2</v>
      </c>
      <c r="E262" s="306" t="s">
        <v>22</v>
      </c>
      <c r="F262" s="306" t="s">
        <v>30</v>
      </c>
      <c r="G262" s="307">
        <v>5</v>
      </c>
      <c r="H262" s="307">
        <v>1</v>
      </c>
      <c r="I262" s="306" t="s">
        <v>22</v>
      </c>
      <c r="J262" s="306" t="s">
        <v>54</v>
      </c>
      <c r="K262" s="306" t="s">
        <v>19</v>
      </c>
      <c r="L262" s="306" t="s">
        <v>27</v>
      </c>
      <c r="M262" s="308">
        <v>3</v>
      </c>
      <c r="N262" s="407" t="s">
        <v>117</v>
      </c>
      <c r="O262" s="401">
        <v>33600000</v>
      </c>
      <c r="P262" s="340"/>
      <c r="Q262" s="340"/>
      <c r="R262" s="340">
        <f t="shared" si="135"/>
        <v>0</v>
      </c>
      <c r="S262" s="340"/>
      <c r="T262" s="340"/>
      <c r="U262" s="340">
        <f t="shared" si="130"/>
        <v>0</v>
      </c>
      <c r="V262" s="340">
        <f>'[7]SPJ FUNGSIONAL '!$X$256</f>
        <v>19650000</v>
      </c>
      <c r="W262" s="340">
        <v>7600000</v>
      </c>
      <c r="X262" s="340">
        <f t="shared" si="131"/>
        <v>27250000</v>
      </c>
      <c r="Y262" s="311">
        <f t="shared" si="133"/>
        <v>27250000</v>
      </c>
      <c r="Z262" s="310">
        <f t="shared" si="134"/>
        <v>6350000</v>
      </c>
      <c r="AA262" s="393"/>
      <c r="AB262" s="267"/>
      <c r="AC262" s="267"/>
      <c r="AD262" s="267"/>
      <c r="AE262" s="267"/>
      <c r="AF262" s="267"/>
      <c r="AG262" s="267"/>
      <c r="AH262" s="267"/>
      <c r="AI262" s="267"/>
      <c r="AJ262" s="267"/>
      <c r="AK262" s="267"/>
      <c r="AL262" s="267"/>
    </row>
    <row r="263" spans="1:38" s="268" customFormat="1" ht="57.75" customHeight="1">
      <c r="A263" s="379">
        <v>7</v>
      </c>
      <c r="B263" s="380" t="s">
        <v>19</v>
      </c>
      <c r="C263" s="380" t="s">
        <v>30</v>
      </c>
      <c r="D263" s="289">
        <v>2</v>
      </c>
      <c r="E263" s="302" t="s">
        <v>22</v>
      </c>
      <c r="F263" s="302" t="s">
        <v>30</v>
      </c>
      <c r="G263" s="289">
        <v>5</v>
      </c>
      <c r="H263" s="289">
        <v>1</v>
      </c>
      <c r="I263" s="302" t="s">
        <v>22</v>
      </c>
      <c r="J263" s="302" t="s">
        <v>32</v>
      </c>
      <c r="K263" s="289"/>
      <c r="L263" s="307"/>
      <c r="M263" s="308"/>
      <c r="N263" s="410" t="s">
        <v>118</v>
      </c>
      <c r="O263" s="408">
        <f>O264</f>
        <v>11100000</v>
      </c>
      <c r="P263" s="408">
        <f>P264</f>
        <v>0</v>
      </c>
      <c r="Q263" s="408">
        <f>Q264</f>
        <v>0</v>
      </c>
      <c r="R263" s="409">
        <f t="shared" si="135"/>
        <v>0</v>
      </c>
      <c r="S263" s="408">
        <f>S264</f>
        <v>0</v>
      </c>
      <c r="T263" s="408">
        <f>T264</f>
        <v>0</v>
      </c>
      <c r="U263" s="409">
        <f t="shared" si="130"/>
        <v>0</v>
      </c>
      <c r="V263" s="408">
        <f>V264</f>
        <v>7100000</v>
      </c>
      <c r="W263" s="408">
        <f t="shared" ref="W263" si="157">W264</f>
        <v>4000000</v>
      </c>
      <c r="X263" s="409">
        <f t="shared" si="131"/>
        <v>11100000</v>
      </c>
      <c r="Y263" s="304">
        <f t="shared" si="133"/>
        <v>11100000</v>
      </c>
      <c r="Z263" s="317">
        <f t="shared" si="134"/>
        <v>0</v>
      </c>
      <c r="AA263" s="393"/>
      <c r="AB263" s="267"/>
      <c r="AC263" s="267"/>
      <c r="AD263" s="267"/>
      <c r="AE263" s="267"/>
      <c r="AF263" s="267"/>
      <c r="AG263" s="267"/>
      <c r="AH263" s="267"/>
      <c r="AI263" s="267"/>
      <c r="AJ263" s="267"/>
      <c r="AK263" s="267"/>
      <c r="AL263" s="267"/>
    </row>
    <row r="264" spans="1:38" s="268" customFormat="1" ht="45" customHeight="1">
      <c r="A264" s="379">
        <v>7</v>
      </c>
      <c r="B264" s="380" t="s">
        <v>19</v>
      </c>
      <c r="C264" s="380" t="s">
        <v>30</v>
      </c>
      <c r="D264" s="289">
        <v>2</v>
      </c>
      <c r="E264" s="302" t="s">
        <v>22</v>
      </c>
      <c r="F264" s="302" t="s">
        <v>30</v>
      </c>
      <c r="G264" s="289">
        <v>5</v>
      </c>
      <c r="H264" s="289">
        <v>1</v>
      </c>
      <c r="I264" s="302" t="s">
        <v>22</v>
      </c>
      <c r="J264" s="302" t="s">
        <v>32</v>
      </c>
      <c r="K264" s="302" t="s">
        <v>19</v>
      </c>
      <c r="L264" s="307"/>
      <c r="M264" s="308"/>
      <c r="N264" s="410" t="s">
        <v>119</v>
      </c>
      <c r="O264" s="408">
        <f>O265</f>
        <v>11100000</v>
      </c>
      <c r="P264" s="340"/>
      <c r="Q264" s="340"/>
      <c r="R264" s="340">
        <f t="shared" si="135"/>
        <v>0</v>
      </c>
      <c r="S264" s="340"/>
      <c r="T264" s="340"/>
      <c r="U264" s="340">
        <f t="shared" si="130"/>
        <v>0</v>
      </c>
      <c r="V264" s="408">
        <f>'[1]SPJ FUNGSIONAL '!$X$264</f>
        <v>7100000</v>
      </c>
      <c r="W264" s="408">
        <f>W265</f>
        <v>4000000</v>
      </c>
      <c r="X264" s="408">
        <f t="shared" ref="X264" si="158">X265</f>
        <v>9500000</v>
      </c>
      <c r="Y264" s="311">
        <f t="shared" si="133"/>
        <v>9500000</v>
      </c>
      <c r="Z264" s="310">
        <f t="shared" si="134"/>
        <v>1600000</v>
      </c>
      <c r="AA264" s="393"/>
      <c r="AB264" s="267"/>
      <c r="AC264" s="267"/>
      <c r="AD264" s="267"/>
      <c r="AE264" s="267"/>
      <c r="AF264" s="267"/>
      <c r="AG264" s="267"/>
      <c r="AH264" s="267"/>
      <c r="AI264" s="267"/>
      <c r="AJ264" s="267"/>
      <c r="AK264" s="267"/>
      <c r="AL264" s="267"/>
    </row>
    <row r="265" spans="1:38" s="268" customFormat="1" ht="36" customHeight="1">
      <c r="A265" s="384">
        <v>7</v>
      </c>
      <c r="B265" s="385" t="s">
        <v>19</v>
      </c>
      <c r="C265" s="385" t="s">
        <v>30</v>
      </c>
      <c r="D265" s="307">
        <v>2</v>
      </c>
      <c r="E265" s="306" t="s">
        <v>22</v>
      </c>
      <c r="F265" s="306" t="s">
        <v>30</v>
      </c>
      <c r="G265" s="307">
        <v>5</v>
      </c>
      <c r="H265" s="307">
        <v>1</v>
      </c>
      <c r="I265" s="306" t="s">
        <v>22</v>
      </c>
      <c r="J265" s="306" t="s">
        <v>32</v>
      </c>
      <c r="K265" s="306" t="s">
        <v>19</v>
      </c>
      <c r="L265" s="306" t="s">
        <v>27</v>
      </c>
      <c r="M265" s="308">
        <v>1</v>
      </c>
      <c r="N265" s="407" t="s">
        <v>120</v>
      </c>
      <c r="O265" s="401">
        <v>11100000</v>
      </c>
      <c r="P265" s="340"/>
      <c r="Q265" s="340"/>
      <c r="R265" s="340">
        <f t="shared" si="135"/>
        <v>0</v>
      </c>
      <c r="S265" s="340"/>
      <c r="T265" s="340"/>
      <c r="U265" s="340">
        <f t="shared" si="130"/>
        <v>0</v>
      </c>
      <c r="V265" s="340">
        <f>'[8]SPJ FUNGSIONAL '!$X$259</f>
        <v>5500000</v>
      </c>
      <c r="W265" s="340">
        <v>4000000</v>
      </c>
      <c r="X265" s="340">
        <f t="shared" si="131"/>
        <v>9500000</v>
      </c>
      <c r="Y265" s="311">
        <f t="shared" si="133"/>
        <v>9500000</v>
      </c>
      <c r="Z265" s="310">
        <f t="shared" si="134"/>
        <v>1600000</v>
      </c>
      <c r="AA265" s="393"/>
      <c r="AB265" s="267"/>
      <c r="AC265" s="267"/>
      <c r="AD265" s="267"/>
      <c r="AE265" s="267"/>
      <c r="AF265" s="267"/>
      <c r="AG265" s="267"/>
      <c r="AH265" s="267"/>
      <c r="AI265" s="267"/>
      <c r="AJ265" s="267"/>
      <c r="AK265" s="267"/>
      <c r="AL265" s="267"/>
    </row>
    <row r="266" spans="1:38" s="268" customFormat="1" ht="22.2" customHeight="1">
      <c r="A266" s="269"/>
      <c r="B266" s="270"/>
      <c r="C266" s="270"/>
      <c r="D266" s="415"/>
      <c r="E266" s="415"/>
      <c r="F266" s="415"/>
      <c r="G266" s="415"/>
      <c r="H266" s="415"/>
      <c r="I266" s="415"/>
      <c r="J266" s="415"/>
      <c r="K266" s="415"/>
      <c r="L266" s="416"/>
      <c r="M266" s="417"/>
      <c r="N266" s="410"/>
      <c r="O266" s="401"/>
      <c r="P266" s="340"/>
      <c r="Q266" s="340"/>
      <c r="R266" s="340"/>
      <c r="S266" s="340"/>
      <c r="T266" s="340"/>
      <c r="U266" s="340"/>
      <c r="V266" s="340"/>
      <c r="W266" s="340"/>
      <c r="X266" s="340"/>
      <c r="Y266" s="340"/>
      <c r="Z266" s="341"/>
      <c r="AA266" s="393"/>
      <c r="AB266" s="267"/>
      <c r="AC266" s="267"/>
      <c r="AD266" s="267"/>
      <c r="AE266" s="267"/>
      <c r="AF266" s="267"/>
      <c r="AG266" s="267"/>
      <c r="AH266" s="267"/>
      <c r="AI266" s="267"/>
      <c r="AJ266" s="267"/>
      <c r="AK266" s="267"/>
      <c r="AL266" s="267"/>
    </row>
    <row r="267" spans="1:38" s="268" customFormat="1" ht="62.25" customHeight="1">
      <c r="A267" s="362">
        <v>7</v>
      </c>
      <c r="B267" s="363" t="s">
        <v>19</v>
      </c>
      <c r="C267" s="363" t="s">
        <v>30</v>
      </c>
      <c r="D267" s="363" t="s">
        <v>64</v>
      </c>
      <c r="E267" s="363" t="s">
        <v>30</v>
      </c>
      <c r="F267" s="364"/>
      <c r="G267" s="364"/>
      <c r="H267" s="364"/>
      <c r="I267" s="364"/>
      <c r="J267" s="364"/>
      <c r="K267" s="364"/>
      <c r="L267" s="364"/>
      <c r="M267" s="386"/>
      <c r="N267" s="283" t="s">
        <v>140</v>
      </c>
      <c r="O267" s="402">
        <f>O269</f>
        <v>2168741000</v>
      </c>
      <c r="P267" s="402">
        <f>P269</f>
        <v>0</v>
      </c>
      <c r="Q267" s="402">
        <f>Q269</f>
        <v>0</v>
      </c>
      <c r="R267" s="368">
        <f>P267+Q267</f>
        <v>0</v>
      </c>
      <c r="S267" s="402">
        <f>S269</f>
        <v>0</v>
      </c>
      <c r="T267" s="402">
        <f>T269</f>
        <v>0</v>
      </c>
      <c r="U267" s="368">
        <f>S267+T267</f>
        <v>0</v>
      </c>
      <c r="V267" s="402">
        <f>V269</f>
        <v>1802005250</v>
      </c>
      <c r="W267" s="402">
        <f>W269</f>
        <v>360933750</v>
      </c>
      <c r="X267" s="368">
        <f>V267+W267</f>
        <v>2162939000</v>
      </c>
      <c r="Y267" s="285">
        <f>R267+U267+X267</f>
        <v>2162939000</v>
      </c>
      <c r="Z267" s="343">
        <f>O267-Y267</f>
        <v>5802000</v>
      </c>
      <c r="AA267" s="393"/>
      <c r="AB267" s="267"/>
      <c r="AC267" s="267"/>
      <c r="AD267" s="267"/>
      <c r="AE267" s="267"/>
      <c r="AF267" s="267"/>
      <c r="AG267" s="267"/>
      <c r="AH267" s="267"/>
      <c r="AI267" s="267"/>
      <c r="AJ267" s="267"/>
      <c r="AK267" s="267"/>
      <c r="AL267" s="267"/>
    </row>
    <row r="268" spans="1:38" s="268" customFormat="1" ht="12.65" customHeight="1">
      <c r="A268" s="388"/>
      <c r="B268" s="389"/>
      <c r="C268" s="389"/>
      <c r="D268" s="389"/>
      <c r="E268" s="389"/>
      <c r="F268" s="389"/>
      <c r="G268" s="389"/>
      <c r="H268" s="389"/>
      <c r="I268" s="389"/>
      <c r="J268" s="389"/>
      <c r="K268" s="389"/>
      <c r="L268" s="389"/>
      <c r="M268" s="390"/>
      <c r="N268" s="272"/>
      <c r="O268" s="273"/>
      <c r="P268" s="418"/>
      <c r="Q268" s="418"/>
      <c r="R268" s="274"/>
      <c r="S268" s="418"/>
      <c r="T268" s="418"/>
      <c r="U268" s="274"/>
      <c r="V268" s="418"/>
      <c r="W268" s="418"/>
      <c r="X268" s="274"/>
      <c r="Y268" s="275"/>
      <c r="Z268" s="276"/>
      <c r="AA268" s="393"/>
      <c r="AB268" s="267"/>
      <c r="AC268" s="267"/>
      <c r="AD268" s="267"/>
      <c r="AE268" s="267"/>
      <c r="AF268" s="267"/>
      <c r="AG268" s="267"/>
      <c r="AH268" s="267"/>
      <c r="AI268" s="267"/>
      <c r="AJ268" s="267"/>
      <c r="AK268" s="267"/>
      <c r="AL268" s="267"/>
    </row>
    <row r="269" spans="1:38" s="268" customFormat="1" ht="42.75" customHeight="1">
      <c r="A269" s="371">
        <v>7</v>
      </c>
      <c r="B269" s="372" t="s">
        <v>19</v>
      </c>
      <c r="C269" s="372" t="s">
        <v>30</v>
      </c>
      <c r="D269" s="297">
        <v>2</v>
      </c>
      <c r="E269" s="296" t="s">
        <v>30</v>
      </c>
      <c r="F269" s="296" t="s">
        <v>19</v>
      </c>
      <c r="G269" s="419"/>
      <c r="H269" s="419"/>
      <c r="I269" s="419"/>
      <c r="J269" s="419"/>
      <c r="K269" s="419"/>
      <c r="L269" s="419"/>
      <c r="M269" s="420"/>
      <c r="N269" s="321" t="s">
        <v>269</v>
      </c>
      <c r="O269" s="300">
        <f>O270</f>
        <v>2168741000</v>
      </c>
      <c r="P269" s="377">
        <f>P270</f>
        <v>0</v>
      </c>
      <c r="Q269" s="377">
        <f>Q270</f>
        <v>0</v>
      </c>
      <c r="R269" s="301">
        <f>P269+Q269</f>
        <v>0</v>
      </c>
      <c r="S269" s="377">
        <f>S270</f>
        <v>0</v>
      </c>
      <c r="T269" s="377">
        <f>T270</f>
        <v>0</v>
      </c>
      <c r="U269" s="301">
        <f>S269+T269</f>
        <v>0</v>
      </c>
      <c r="V269" s="377">
        <f>V270</f>
        <v>1802005250</v>
      </c>
      <c r="W269" s="377">
        <f>W270</f>
        <v>360933750</v>
      </c>
      <c r="X269" s="301">
        <f>V269+W269</f>
        <v>2162939000</v>
      </c>
      <c r="Y269" s="301">
        <f>R269+U269+X269</f>
        <v>2162939000</v>
      </c>
      <c r="Z269" s="300">
        <f>O269-Y269</f>
        <v>5802000</v>
      </c>
      <c r="AA269" s="393"/>
      <c r="AB269" s="267"/>
      <c r="AC269" s="267"/>
      <c r="AD269" s="267"/>
      <c r="AE269" s="267"/>
      <c r="AF269" s="267"/>
      <c r="AG269" s="267"/>
      <c r="AH269" s="267"/>
      <c r="AI269" s="267"/>
      <c r="AJ269" s="267"/>
      <c r="AK269" s="267"/>
      <c r="AL269" s="267"/>
    </row>
    <row r="270" spans="1:38" s="268" customFormat="1" ht="36" customHeight="1">
      <c r="A270" s="379">
        <v>7</v>
      </c>
      <c r="B270" s="380" t="s">
        <v>19</v>
      </c>
      <c r="C270" s="380" t="s">
        <v>30</v>
      </c>
      <c r="D270" s="289">
        <v>2</v>
      </c>
      <c r="E270" s="302" t="s">
        <v>30</v>
      </c>
      <c r="F270" s="302" t="s">
        <v>19</v>
      </c>
      <c r="G270" s="289">
        <v>5</v>
      </c>
      <c r="H270" s="289">
        <v>1</v>
      </c>
      <c r="I270" s="302" t="s">
        <v>22</v>
      </c>
      <c r="J270" s="289"/>
      <c r="K270" s="289"/>
      <c r="L270" s="307"/>
      <c r="M270" s="308"/>
      <c r="N270" s="410" t="s">
        <v>123</v>
      </c>
      <c r="O270" s="408">
        <f>O271+O276</f>
        <v>2168741000</v>
      </c>
      <c r="P270" s="408">
        <f>P271+P276</f>
        <v>0</v>
      </c>
      <c r="Q270" s="408">
        <f>Q271+Q276</f>
        <v>0</v>
      </c>
      <c r="R270" s="409">
        <f>P270+Q270</f>
        <v>0</v>
      </c>
      <c r="S270" s="408">
        <f>S271+S276</f>
        <v>0</v>
      </c>
      <c r="T270" s="408">
        <f>T271+T276</f>
        <v>0</v>
      </c>
      <c r="U270" s="409">
        <f t="shared" ref="U270:U276" si="159">S270+T270</f>
        <v>0</v>
      </c>
      <c r="V270" s="408">
        <f>V271+V276</f>
        <v>1802005250</v>
      </c>
      <c r="W270" s="408">
        <f>W271+W276</f>
        <v>360933750</v>
      </c>
      <c r="X270" s="409">
        <f t="shared" ref="X270:X277" si="160">V270+W270</f>
        <v>2162939000</v>
      </c>
      <c r="Y270" s="409">
        <f>R270+U270+X270</f>
        <v>2162939000</v>
      </c>
      <c r="Z270" s="421">
        <f>O270-Y270</f>
        <v>5802000</v>
      </c>
      <c r="AA270" s="393"/>
      <c r="AB270" s="267"/>
      <c r="AC270" s="267"/>
      <c r="AD270" s="267"/>
      <c r="AE270" s="267"/>
      <c r="AF270" s="267"/>
      <c r="AG270" s="267"/>
      <c r="AH270" s="267"/>
      <c r="AI270" s="267"/>
      <c r="AJ270" s="267"/>
      <c r="AK270" s="267"/>
      <c r="AL270" s="267"/>
    </row>
    <row r="271" spans="1:38" s="268" customFormat="1" ht="36" customHeight="1">
      <c r="A271" s="379">
        <v>7</v>
      </c>
      <c r="B271" s="380" t="s">
        <v>19</v>
      </c>
      <c r="C271" s="380" t="s">
        <v>30</v>
      </c>
      <c r="D271" s="289">
        <v>2</v>
      </c>
      <c r="E271" s="302" t="s">
        <v>30</v>
      </c>
      <c r="F271" s="302" t="s">
        <v>19</v>
      </c>
      <c r="G271" s="289">
        <v>5</v>
      </c>
      <c r="H271" s="289">
        <v>1</v>
      </c>
      <c r="I271" s="302" t="s">
        <v>22</v>
      </c>
      <c r="J271" s="302" t="s">
        <v>19</v>
      </c>
      <c r="K271" s="289"/>
      <c r="L271" s="307"/>
      <c r="M271" s="308"/>
      <c r="N271" s="410" t="s">
        <v>65</v>
      </c>
      <c r="O271" s="408">
        <f>O272</f>
        <v>26741000</v>
      </c>
      <c r="P271" s="408">
        <f>P272</f>
        <v>0</v>
      </c>
      <c r="Q271" s="408">
        <f>Q272</f>
        <v>0</v>
      </c>
      <c r="R271" s="409">
        <f t="shared" ref="R271:R276" si="161">P271+Q271</f>
        <v>0</v>
      </c>
      <c r="S271" s="408">
        <f>S272</f>
        <v>0</v>
      </c>
      <c r="T271" s="408">
        <f>T272</f>
        <v>0</v>
      </c>
      <c r="U271" s="409">
        <f t="shared" si="159"/>
        <v>0</v>
      </c>
      <c r="V271" s="408">
        <f>V272</f>
        <v>17305250</v>
      </c>
      <c r="W271" s="408">
        <f>W272</f>
        <v>3933750</v>
      </c>
      <c r="X271" s="409">
        <f t="shared" si="160"/>
        <v>21239000</v>
      </c>
      <c r="Y271" s="409">
        <f t="shared" ref="Y271:Y278" si="162">R271+U271+X271</f>
        <v>21239000</v>
      </c>
      <c r="Z271" s="421">
        <f t="shared" ref="Z271:Z278" si="163">O271-Y271</f>
        <v>5502000</v>
      </c>
      <c r="AA271" s="393"/>
      <c r="AB271" s="267"/>
      <c r="AC271" s="267"/>
      <c r="AD271" s="267"/>
      <c r="AE271" s="267"/>
      <c r="AF271" s="267"/>
      <c r="AG271" s="267"/>
      <c r="AH271" s="267"/>
      <c r="AI271" s="267"/>
      <c r="AJ271" s="267"/>
      <c r="AK271" s="267"/>
      <c r="AL271" s="267"/>
    </row>
    <row r="272" spans="1:38" s="268" customFormat="1" ht="36" customHeight="1">
      <c r="A272" s="379">
        <v>7</v>
      </c>
      <c r="B272" s="380" t="s">
        <v>19</v>
      </c>
      <c r="C272" s="380" t="s">
        <v>30</v>
      </c>
      <c r="D272" s="289">
        <v>2</v>
      </c>
      <c r="E272" s="302" t="s">
        <v>30</v>
      </c>
      <c r="F272" s="302" t="s">
        <v>19</v>
      </c>
      <c r="G272" s="289">
        <v>5</v>
      </c>
      <c r="H272" s="289">
        <v>1</v>
      </c>
      <c r="I272" s="302" t="s">
        <v>22</v>
      </c>
      <c r="J272" s="302" t="s">
        <v>19</v>
      </c>
      <c r="K272" s="302" t="s">
        <v>19</v>
      </c>
      <c r="L272" s="307"/>
      <c r="M272" s="308"/>
      <c r="N272" s="410" t="s">
        <v>51</v>
      </c>
      <c r="O272" s="408">
        <f>SUM(O273:O275)</f>
        <v>26741000</v>
      </c>
      <c r="P272" s="408">
        <f>SUM(P273:P275)</f>
        <v>0</v>
      </c>
      <c r="Q272" s="408">
        <f>SUM(Q273:Q275)</f>
        <v>0</v>
      </c>
      <c r="R272" s="409">
        <f t="shared" si="161"/>
        <v>0</v>
      </c>
      <c r="S272" s="408">
        <f>SUM(S273:S275)</f>
        <v>0</v>
      </c>
      <c r="T272" s="408">
        <f>SUM(T273:T275)</f>
        <v>0</v>
      </c>
      <c r="U272" s="409">
        <f t="shared" si="159"/>
        <v>0</v>
      </c>
      <c r="V272" s="408">
        <f>SUM(V273:V275)</f>
        <v>17305250</v>
      </c>
      <c r="W272" s="408">
        <f>SUM(W273:W275)</f>
        <v>3933750</v>
      </c>
      <c r="X272" s="409">
        <f t="shared" si="160"/>
        <v>21239000</v>
      </c>
      <c r="Y272" s="409">
        <f t="shared" si="162"/>
        <v>21239000</v>
      </c>
      <c r="Z272" s="421">
        <f t="shared" si="163"/>
        <v>5502000</v>
      </c>
      <c r="AA272" s="393"/>
      <c r="AB272" s="267"/>
      <c r="AC272" s="267"/>
      <c r="AD272" s="267"/>
      <c r="AE272" s="267"/>
      <c r="AF272" s="267"/>
      <c r="AG272" s="267"/>
      <c r="AH272" s="267"/>
      <c r="AI272" s="267"/>
      <c r="AJ272" s="267"/>
      <c r="AK272" s="267"/>
      <c r="AL272" s="267"/>
    </row>
    <row r="273" spans="1:38" s="268" customFormat="1" ht="36" customHeight="1">
      <c r="A273" s="384">
        <v>7</v>
      </c>
      <c r="B273" s="385" t="s">
        <v>19</v>
      </c>
      <c r="C273" s="385" t="s">
        <v>30</v>
      </c>
      <c r="D273" s="307">
        <v>2</v>
      </c>
      <c r="E273" s="306" t="s">
        <v>30</v>
      </c>
      <c r="F273" s="306" t="s">
        <v>19</v>
      </c>
      <c r="G273" s="307">
        <v>5</v>
      </c>
      <c r="H273" s="307">
        <v>1</v>
      </c>
      <c r="I273" s="306" t="s">
        <v>22</v>
      </c>
      <c r="J273" s="306" t="s">
        <v>19</v>
      </c>
      <c r="K273" s="306" t="s">
        <v>19</v>
      </c>
      <c r="L273" s="306" t="s">
        <v>56</v>
      </c>
      <c r="M273" s="414" t="s">
        <v>11</v>
      </c>
      <c r="N273" s="309" t="s">
        <v>132</v>
      </c>
      <c r="O273" s="401">
        <v>41000</v>
      </c>
      <c r="P273" s="340"/>
      <c r="Q273" s="340"/>
      <c r="R273" s="340">
        <f t="shared" si="161"/>
        <v>0</v>
      </c>
      <c r="S273" s="340"/>
      <c r="T273" s="340"/>
      <c r="U273" s="340">
        <f t="shared" si="159"/>
        <v>0</v>
      </c>
      <c r="V273" s="340">
        <f>'[1]SPJ FUNGSIONAL '!$X$273</f>
        <v>41000</v>
      </c>
      <c r="W273" s="340"/>
      <c r="X273" s="340">
        <f t="shared" si="160"/>
        <v>41000</v>
      </c>
      <c r="Y273" s="340">
        <f t="shared" si="162"/>
        <v>41000</v>
      </c>
      <c r="Z273" s="341">
        <f t="shared" si="163"/>
        <v>0</v>
      </c>
      <c r="AA273" s="393"/>
      <c r="AB273" s="267"/>
      <c r="AC273" s="267"/>
      <c r="AD273" s="267"/>
      <c r="AE273" s="267"/>
      <c r="AF273" s="267"/>
      <c r="AG273" s="267"/>
      <c r="AH273" s="267"/>
      <c r="AI273" s="267"/>
      <c r="AJ273" s="267"/>
      <c r="AK273" s="267"/>
      <c r="AL273" s="267"/>
    </row>
    <row r="274" spans="1:38" s="268" customFormat="1" ht="36" customHeight="1">
      <c r="A274" s="384">
        <v>7</v>
      </c>
      <c r="B274" s="385" t="s">
        <v>19</v>
      </c>
      <c r="C274" s="385" t="s">
        <v>30</v>
      </c>
      <c r="D274" s="307">
        <v>2</v>
      </c>
      <c r="E274" s="306" t="s">
        <v>30</v>
      </c>
      <c r="F274" s="306" t="s">
        <v>19</v>
      </c>
      <c r="G274" s="307">
        <v>5</v>
      </c>
      <c r="H274" s="307">
        <v>1</v>
      </c>
      <c r="I274" s="306" t="s">
        <v>22</v>
      </c>
      <c r="J274" s="306" t="s">
        <v>19</v>
      </c>
      <c r="K274" s="306" t="s">
        <v>19</v>
      </c>
      <c r="L274" s="306" t="s">
        <v>56</v>
      </c>
      <c r="M274" s="308">
        <v>6</v>
      </c>
      <c r="N274" s="318" t="s">
        <v>134</v>
      </c>
      <c r="O274" s="401">
        <v>35000</v>
      </c>
      <c r="P274" s="340"/>
      <c r="Q274" s="340"/>
      <c r="R274" s="340">
        <f t="shared" si="161"/>
        <v>0</v>
      </c>
      <c r="S274" s="340"/>
      <c r="T274" s="340"/>
      <c r="U274" s="340">
        <f t="shared" si="159"/>
        <v>0</v>
      </c>
      <c r="V274" s="340">
        <f>'[1]SPJ FUNGSIONAL '!$X$274</f>
        <v>25000</v>
      </c>
      <c r="W274" s="340"/>
      <c r="X274" s="340">
        <f t="shared" si="160"/>
        <v>25000</v>
      </c>
      <c r="Y274" s="340">
        <f t="shared" si="162"/>
        <v>25000</v>
      </c>
      <c r="Z274" s="341">
        <f t="shared" si="163"/>
        <v>10000</v>
      </c>
      <c r="AA274" s="393"/>
      <c r="AB274" s="267"/>
      <c r="AC274" s="267"/>
      <c r="AD274" s="267"/>
      <c r="AE274" s="267"/>
      <c r="AF274" s="267"/>
      <c r="AG274" s="267"/>
      <c r="AH274" s="267"/>
      <c r="AI274" s="267"/>
      <c r="AJ274" s="267"/>
      <c r="AK274" s="267"/>
      <c r="AL274" s="267"/>
    </row>
    <row r="275" spans="1:38" s="268" customFormat="1" ht="36" customHeight="1">
      <c r="A275" s="384">
        <v>7</v>
      </c>
      <c r="B275" s="385" t="s">
        <v>19</v>
      </c>
      <c r="C275" s="385" t="s">
        <v>30</v>
      </c>
      <c r="D275" s="307">
        <v>2</v>
      </c>
      <c r="E275" s="306" t="s">
        <v>30</v>
      </c>
      <c r="F275" s="306" t="s">
        <v>19</v>
      </c>
      <c r="G275" s="307">
        <v>5</v>
      </c>
      <c r="H275" s="307">
        <v>1</v>
      </c>
      <c r="I275" s="306" t="s">
        <v>22</v>
      </c>
      <c r="J275" s="306" t="s">
        <v>19</v>
      </c>
      <c r="K275" s="306" t="s">
        <v>19</v>
      </c>
      <c r="L275" s="306" t="s">
        <v>66</v>
      </c>
      <c r="M275" s="308">
        <v>2</v>
      </c>
      <c r="N275" s="309" t="s">
        <v>126</v>
      </c>
      <c r="O275" s="401">
        <v>26665000</v>
      </c>
      <c r="P275" s="340"/>
      <c r="Q275" s="340"/>
      <c r="R275" s="340">
        <f t="shared" si="161"/>
        <v>0</v>
      </c>
      <c r="S275" s="340"/>
      <c r="T275" s="340"/>
      <c r="U275" s="340">
        <f t="shared" si="159"/>
        <v>0</v>
      </c>
      <c r="V275" s="340">
        <f>'[1]SPJ FUNGSIONAL '!$X$275</f>
        <v>17239250</v>
      </c>
      <c r="W275" s="340">
        <v>3933750</v>
      </c>
      <c r="X275" s="340">
        <f t="shared" si="160"/>
        <v>21173000</v>
      </c>
      <c r="Y275" s="340">
        <f t="shared" si="162"/>
        <v>21173000</v>
      </c>
      <c r="Z275" s="341">
        <f t="shared" si="163"/>
        <v>5492000</v>
      </c>
      <c r="AA275" s="393"/>
      <c r="AB275" s="267"/>
      <c r="AC275" s="267"/>
      <c r="AD275" s="267"/>
      <c r="AE275" s="267"/>
      <c r="AF275" s="267"/>
      <c r="AG275" s="267"/>
      <c r="AH275" s="267"/>
      <c r="AI275" s="267"/>
      <c r="AJ275" s="267"/>
      <c r="AK275" s="267"/>
      <c r="AL275" s="267"/>
    </row>
    <row r="276" spans="1:38" s="268" customFormat="1" ht="36" customHeight="1">
      <c r="A276" s="379">
        <v>7</v>
      </c>
      <c r="B276" s="380" t="s">
        <v>19</v>
      </c>
      <c r="C276" s="380" t="s">
        <v>30</v>
      </c>
      <c r="D276" s="289">
        <v>2</v>
      </c>
      <c r="E276" s="302" t="s">
        <v>30</v>
      </c>
      <c r="F276" s="302" t="s">
        <v>19</v>
      </c>
      <c r="G276" s="289">
        <v>5</v>
      </c>
      <c r="H276" s="289">
        <v>1</v>
      </c>
      <c r="I276" s="302" t="s">
        <v>22</v>
      </c>
      <c r="J276" s="302" t="s">
        <v>22</v>
      </c>
      <c r="K276" s="289"/>
      <c r="L276" s="307"/>
      <c r="M276" s="308"/>
      <c r="N276" s="410" t="s">
        <v>75</v>
      </c>
      <c r="O276" s="408">
        <f>O277</f>
        <v>2142000000</v>
      </c>
      <c r="P276" s="408">
        <f t="shared" ref="P276:Q276" si="164">P277</f>
        <v>0</v>
      </c>
      <c r="Q276" s="408">
        <f t="shared" si="164"/>
        <v>0</v>
      </c>
      <c r="R276" s="409">
        <f t="shared" si="161"/>
        <v>0</v>
      </c>
      <c r="S276" s="408">
        <f t="shared" ref="S276:T276" si="165">S277</f>
        <v>0</v>
      </c>
      <c r="T276" s="408">
        <f t="shared" si="165"/>
        <v>0</v>
      </c>
      <c r="U276" s="409">
        <f t="shared" si="159"/>
        <v>0</v>
      </c>
      <c r="V276" s="408">
        <f t="shared" ref="V276:W276" si="166">V277</f>
        <v>1784700000</v>
      </c>
      <c r="W276" s="408">
        <f t="shared" si="166"/>
        <v>357000000</v>
      </c>
      <c r="X276" s="409">
        <f t="shared" si="160"/>
        <v>2141700000</v>
      </c>
      <c r="Y276" s="409">
        <f t="shared" si="162"/>
        <v>2141700000</v>
      </c>
      <c r="Z276" s="421">
        <f t="shared" si="163"/>
        <v>300000</v>
      </c>
      <c r="AA276" s="393"/>
      <c r="AB276" s="267"/>
      <c r="AC276" s="267"/>
      <c r="AD276" s="267"/>
      <c r="AE276" s="267"/>
      <c r="AF276" s="267"/>
      <c r="AG276" s="267"/>
      <c r="AH276" s="267"/>
      <c r="AI276" s="267"/>
      <c r="AJ276" s="267"/>
      <c r="AK276" s="267"/>
      <c r="AL276" s="267"/>
    </row>
    <row r="277" spans="1:38" s="268" customFormat="1" ht="36" customHeight="1">
      <c r="A277" s="379">
        <v>7</v>
      </c>
      <c r="B277" s="380" t="s">
        <v>19</v>
      </c>
      <c r="C277" s="380" t="s">
        <v>30</v>
      </c>
      <c r="D277" s="289">
        <v>2</v>
      </c>
      <c r="E277" s="302" t="s">
        <v>30</v>
      </c>
      <c r="F277" s="302" t="s">
        <v>19</v>
      </c>
      <c r="G277" s="289">
        <v>5</v>
      </c>
      <c r="H277" s="289">
        <v>1</v>
      </c>
      <c r="I277" s="302" t="s">
        <v>22</v>
      </c>
      <c r="J277" s="302" t="s">
        <v>22</v>
      </c>
      <c r="K277" s="302" t="s">
        <v>19</v>
      </c>
      <c r="L277" s="307"/>
      <c r="M277" s="308"/>
      <c r="N277" s="410" t="s">
        <v>114</v>
      </c>
      <c r="O277" s="408">
        <f t="shared" ref="O277:W277" si="167">SUM(O278:O278)</f>
        <v>2142000000</v>
      </c>
      <c r="P277" s="408">
        <f t="shared" si="167"/>
        <v>0</v>
      </c>
      <c r="Q277" s="408">
        <f t="shared" si="167"/>
        <v>0</v>
      </c>
      <c r="R277" s="408">
        <f t="shared" si="167"/>
        <v>0</v>
      </c>
      <c r="S277" s="408">
        <f t="shared" si="167"/>
        <v>0</v>
      </c>
      <c r="T277" s="408">
        <f t="shared" si="167"/>
        <v>0</v>
      </c>
      <c r="U277" s="408">
        <f t="shared" si="167"/>
        <v>0</v>
      </c>
      <c r="V277" s="408">
        <f t="shared" si="167"/>
        <v>1784700000</v>
      </c>
      <c r="W277" s="408">
        <f t="shared" si="167"/>
        <v>357000000</v>
      </c>
      <c r="X277" s="409">
        <f t="shared" si="160"/>
        <v>2141700000</v>
      </c>
      <c r="Y277" s="409">
        <f t="shared" si="162"/>
        <v>2141700000</v>
      </c>
      <c r="Z277" s="421">
        <f t="shared" si="163"/>
        <v>300000</v>
      </c>
      <c r="AA277" s="393"/>
      <c r="AB277" s="267"/>
      <c r="AC277" s="267"/>
      <c r="AD277" s="267"/>
      <c r="AE277" s="267"/>
      <c r="AF277" s="267"/>
      <c r="AG277" s="267"/>
      <c r="AH277" s="267"/>
      <c r="AI277" s="267"/>
      <c r="AJ277" s="267"/>
      <c r="AK277" s="267"/>
      <c r="AL277" s="267"/>
    </row>
    <row r="278" spans="1:38" s="268" customFormat="1" ht="36" customHeight="1">
      <c r="A278" s="384">
        <v>7</v>
      </c>
      <c r="B278" s="385" t="s">
        <v>19</v>
      </c>
      <c r="C278" s="385" t="s">
        <v>30</v>
      </c>
      <c r="D278" s="307">
        <v>2</v>
      </c>
      <c r="E278" s="306" t="s">
        <v>30</v>
      </c>
      <c r="F278" s="306" t="s">
        <v>19</v>
      </c>
      <c r="G278" s="307">
        <v>5</v>
      </c>
      <c r="H278" s="307">
        <v>1</v>
      </c>
      <c r="I278" s="306" t="s">
        <v>22</v>
      </c>
      <c r="J278" s="306" t="s">
        <v>22</v>
      </c>
      <c r="K278" s="306" t="s">
        <v>19</v>
      </c>
      <c r="L278" s="306" t="s">
        <v>27</v>
      </c>
      <c r="M278" s="308">
        <v>6</v>
      </c>
      <c r="N278" s="407" t="s">
        <v>208</v>
      </c>
      <c r="O278" s="401">
        <v>2142000000</v>
      </c>
      <c r="P278" s="340"/>
      <c r="Q278" s="408"/>
      <c r="R278" s="409"/>
      <c r="S278" s="408"/>
      <c r="T278" s="408"/>
      <c r="U278" s="409"/>
      <c r="V278" s="401">
        <f>'[1]SPJ FUNGSIONAL '!$X$278</f>
        <v>1784700000</v>
      </c>
      <c r="W278" s="401">
        <v>357000000</v>
      </c>
      <c r="X278" s="340">
        <f>SUM(V278:W278)</f>
        <v>2141700000</v>
      </c>
      <c r="Y278" s="340">
        <f t="shared" si="162"/>
        <v>2141700000</v>
      </c>
      <c r="Z278" s="341">
        <f t="shared" si="163"/>
        <v>300000</v>
      </c>
      <c r="AA278" s="393"/>
      <c r="AB278" s="267"/>
      <c r="AC278" s="267"/>
      <c r="AD278" s="267"/>
      <c r="AE278" s="267"/>
      <c r="AF278" s="267"/>
      <c r="AG278" s="267"/>
      <c r="AH278" s="267"/>
      <c r="AI278" s="267"/>
      <c r="AJ278" s="267"/>
      <c r="AK278" s="267"/>
      <c r="AL278" s="267"/>
    </row>
    <row r="279" spans="1:38" s="268" customFormat="1" ht="20.25" customHeight="1">
      <c r="A279" s="269"/>
      <c r="B279" s="270"/>
      <c r="C279" s="270"/>
      <c r="D279" s="415"/>
      <c r="E279" s="415"/>
      <c r="F279" s="415"/>
      <c r="G279" s="415"/>
      <c r="H279" s="415"/>
      <c r="I279" s="415"/>
      <c r="J279" s="415"/>
      <c r="K279" s="415"/>
      <c r="L279" s="416"/>
      <c r="M279" s="417"/>
      <c r="N279" s="410"/>
      <c r="O279" s="401"/>
      <c r="P279" s="340"/>
      <c r="Q279" s="340"/>
      <c r="R279" s="340"/>
      <c r="S279" s="340"/>
      <c r="T279" s="340"/>
      <c r="U279" s="340"/>
      <c r="V279" s="340"/>
      <c r="W279" s="340"/>
      <c r="X279" s="340"/>
      <c r="Y279" s="340"/>
      <c r="Z279" s="341"/>
      <c r="AA279" s="393"/>
      <c r="AB279" s="267"/>
      <c r="AC279" s="267"/>
      <c r="AD279" s="267"/>
      <c r="AE279" s="267"/>
      <c r="AF279" s="267"/>
      <c r="AG279" s="267"/>
      <c r="AH279" s="267"/>
      <c r="AI279" s="267"/>
      <c r="AJ279" s="267"/>
      <c r="AK279" s="267"/>
      <c r="AL279" s="267"/>
    </row>
    <row r="280" spans="1:38" s="268" customFormat="1" ht="59.25" customHeight="1">
      <c r="A280" s="351">
        <v>7</v>
      </c>
      <c r="B280" s="352" t="s">
        <v>19</v>
      </c>
      <c r="C280" s="352" t="s">
        <v>54</v>
      </c>
      <c r="D280" s="353"/>
      <c r="E280" s="353"/>
      <c r="F280" s="353"/>
      <c r="G280" s="353"/>
      <c r="H280" s="353"/>
      <c r="I280" s="353"/>
      <c r="J280" s="353"/>
      <c r="K280" s="353"/>
      <c r="L280" s="353"/>
      <c r="M280" s="354"/>
      <c r="N280" s="355" t="s">
        <v>141</v>
      </c>
      <c r="O280" s="356">
        <f>O282</f>
        <v>26675000</v>
      </c>
      <c r="P280" s="358">
        <f t="shared" ref="P280:X280" si="168">P282</f>
        <v>0</v>
      </c>
      <c r="Q280" s="358">
        <f t="shared" si="168"/>
        <v>0</v>
      </c>
      <c r="R280" s="358">
        <f t="shared" si="168"/>
        <v>0</v>
      </c>
      <c r="S280" s="358">
        <f t="shared" si="168"/>
        <v>0</v>
      </c>
      <c r="T280" s="358">
        <f t="shared" si="168"/>
        <v>0</v>
      </c>
      <c r="U280" s="358">
        <f t="shared" si="168"/>
        <v>0</v>
      </c>
      <c r="V280" s="358">
        <f t="shared" si="168"/>
        <v>15582450</v>
      </c>
      <c r="W280" s="358">
        <f t="shared" si="168"/>
        <v>7405000</v>
      </c>
      <c r="X280" s="358">
        <f t="shared" si="168"/>
        <v>22987450</v>
      </c>
      <c r="Y280" s="359">
        <f>R280+U280+X280</f>
        <v>22987450</v>
      </c>
      <c r="Z280" s="422">
        <f>O280-Y280</f>
        <v>3687550</v>
      </c>
      <c r="AA280" s="393"/>
      <c r="AB280" s="267"/>
      <c r="AC280" s="267"/>
      <c r="AD280" s="267"/>
      <c r="AE280" s="267"/>
      <c r="AF280" s="267"/>
      <c r="AG280" s="267"/>
      <c r="AH280" s="267"/>
      <c r="AI280" s="267"/>
      <c r="AJ280" s="267"/>
      <c r="AK280" s="267"/>
      <c r="AL280" s="267"/>
    </row>
    <row r="281" spans="1:38" s="268" customFormat="1" ht="16.2" customHeight="1">
      <c r="A281" s="345"/>
      <c r="B281" s="346"/>
      <c r="C281" s="346"/>
      <c r="D281" s="346"/>
      <c r="E281" s="346"/>
      <c r="F281" s="346"/>
      <c r="G281" s="346"/>
      <c r="H281" s="346"/>
      <c r="I281" s="346"/>
      <c r="J281" s="346"/>
      <c r="K281" s="346"/>
      <c r="L281" s="346"/>
      <c r="M281" s="347"/>
      <c r="N281" s="348"/>
      <c r="O281" s="381"/>
      <c r="P281" s="382"/>
      <c r="Q281" s="382"/>
      <c r="R281" s="382"/>
      <c r="S281" s="382"/>
      <c r="T281" s="382"/>
      <c r="U281" s="382"/>
      <c r="V281" s="382"/>
      <c r="W281" s="382"/>
      <c r="X281" s="382"/>
      <c r="Y281" s="361"/>
      <c r="Z281" s="383"/>
      <c r="AA281" s="393"/>
      <c r="AB281" s="267"/>
      <c r="AC281" s="267"/>
      <c r="AD281" s="267"/>
      <c r="AE281" s="267"/>
      <c r="AF281" s="267"/>
      <c r="AG281" s="267"/>
      <c r="AH281" s="267"/>
      <c r="AI281" s="267"/>
      <c r="AJ281" s="267"/>
      <c r="AK281" s="267"/>
      <c r="AL281" s="267"/>
    </row>
    <row r="282" spans="1:38" s="268" customFormat="1" ht="59.25" customHeight="1">
      <c r="A282" s="362">
        <v>7</v>
      </c>
      <c r="B282" s="363" t="s">
        <v>19</v>
      </c>
      <c r="C282" s="363" t="s">
        <v>54</v>
      </c>
      <c r="D282" s="363" t="s">
        <v>64</v>
      </c>
      <c r="E282" s="363" t="s">
        <v>19</v>
      </c>
      <c r="F282" s="364"/>
      <c r="G282" s="364"/>
      <c r="H282" s="364"/>
      <c r="I282" s="364"/>
      <c r="J282" s="364"/>
      <c r="K282" s="364"/>
      <c r="L282" s="364"/>
      <c r="M282" s="386"/>
      <c r="N282" s="283" t="s">
        <v>142</v>
      </c>
      <c r="O282" s="387">
        <f t="shared" ref="O282:X282" si="169">O284+O413+O467+O491</f>
        <v>26675000</v>
      </c>
      <c r="P282" s="402">
        <f t="shared" si="169"/>
        <v>0</v>
      </c>
      <c r="Q282" s="402">
        <f t="shared" si="169"/>
        <v>0</v>
      </c>
      <c r="R282" s="402">
        <f t="shared" si="169"/>
        <v>0</v>
      </c>
      <c r="S282" s="402">
        <f t="shared" si="169"/>
        <v>0</v>
      </c>
      <c r="T282" s="402">
        <f t="shared" si="169"/>
        <v>0</v>
      </c>
      <c r="U282" s="402">
        <f t="shared" si="169"/>
        <v>0</v>
      </c>
      <c r="V282" s="402">
        <f t="shared" si="169"/>
        <v>15582450</v>
      </c>
      <c r="W282" s="402">
        <f t="shared" si="169"/>
        <v>7405000</v>
      </c>
      <c r="X282" s="402">
        <f t="shared" si="169"/>
        <v>22987450</v>
      </c>
      <c r="Y282" s="285">
        <f>R282+U282+X282</f>
        <v>22987450</v>
      </c>
      <c r="Z282" s="343">
        <f>O282-Y282</f>
        <v>3687550</v>
      </c>
      <c r="AA282" s="393"/>
      <c r="AB282" s="267"/>
      <c r="AC282" s="267"/>
      <c r="AD282" s="267"/>
      <c r="AE282" s="267"/>
      <c r="AF282" s="267"/>
      <c r="AG282" s="267"/>
      <c r="AH282" s="267"/>
      <c r="AI282" s="267"/>
      <c r="AJ282" s="267"/>
      <c r="AK282" s="267"/>
      <c r="AL282" s="267"/>
    </row>
    <row r="283" spans="1:38" s="268" customFormat="1" ht="17.5" customHeight="1">
      <c r="A283" s="388"/>
      <c r="B283" s="389"/>
      <c r="C283" s="389"/>
      <c r="D283" s="389"/>
      <c r="E283" s="389"/>
      <c r="F283" s="389"/>
      <c r="G283" s="389"/>
      <c r="H283" s="389"/>
      <c r="I283" s="389"/>
      <c r="J283" s="389"/>
      <c r="K283" s="389"/>
      <c r="L283" s="389"/>
      <c r="M283" s="390"/>
      <c r="N283" s="272"/>
      <c r="O283" s="273"/>
      <c r="P283" s="418"/>
      <c r="Q283" s="418"/>
      <c r="R283" s="418"/>
      <c r="S283" s="418"/>
      <c r="T283" s="418"/>
      <c r="U283" s="418"/>
      <c r="V283" s="418"/>
      <c r="W283" s="418"/>
      <c r="X283" s="418"/>
      <c r="Y283" s="275"/>
      <c r="Z283" s="276"/>
      <c r="AA283" s="393"/>
      <c r="AB283" s="267"/>
      <c r="AC283" s="267"/>
      <c r="AD283" s="267"/>
      <c r="AE283" s="267"/>
      <c r="AF283" s="267"/>
      <c r="AG283" s="267"/>
      <c r="AH283" s="267"/>
      <c r="AI283" s="267"/>
      <c r="AJ283" s="267"/>
      <c r="AK283" s="267"/>
      <c r="AL283" s="267"/>
    </row>
    <row r="284" spans="1:38" s="268" customFormat="1" ht="78.75" customHeight="1">
      <c r="A284" s="371">
        <v>7</v>
      </c>
      <c r="B284" s="372" t="s">
        <v>19</v>
      </c>
      <c r="C284" s="372" t="s">
        <v>54</v>
      </c>
      <c r="D284" s="297">
        <v>2</v>
      </c>
      <c r="E284" s="296" t="s">
        <v>22</v>
      </c>
      <c r="F284" s="296" t="s">
        <v>19</v>
      </c>
      <c r="G284" s="419"/>
      <c r="H284" s="419"/>
      <c r="I284" s="419"/>
      <c r="J284" s="419"/>
      <c r="K284" s="419"/>
      <c r="L284" s="419"/>
      <c r="M284" s="420"/>
      <c r="N284" s="321" t="s">
        <v>143</v>
      </c>
      <c r="O284" s="300">
        <f>O285</f>
        <v>26675000</v>
      </c>
      <c r="P284" s="377">
        <f t="shared" ref="P284:X285" si="170">P285</f>
        <v>0</v>
      </c>
      <c r="Q284" s="377">
        <f t="shared" si="170"/>
        <v>0</v>
      </c>
      <c r="R284" s="377">
        <f t="shared" si="170"/>
        <v>0</v>
      </c>
      <c r="S284" s="377">
        <f t="shared" si="170"/>
        <v>0</v>
      </c>
      <c r="T284" s="377">
        <f t="shared" si="170"/>
        <v>0</v>
      </c>
      <c r="U284" s="377">
        <f t="shared" si="170"/>
        <v>0</v>
      </c>
      <c r="V284" s="377">
        <f t="shared" si="170"/>
        <v>15582450</v>
      </c>
      <c r="W284" s="377">
        <f t="shared" si="170"/>
        <v>7405000</v>
      </c>
      <c r="X284" s="377">
        <f t="shared" si="170"/>
        <v>22987450</v>
      </c>
      <c r="Y284" s="301">
        <f>R284+U284+X284</f>
        <v>22987450</v>
      </c>
      <c r="Z284" s="300">
        <f>O284-Y284</f>
        <v>3687550</v>
      </c>
      <c r="AA284" s="393"/>
      <c r="AB284" s="267"/>
      <c r="AC284" s="267"/>
      <c r="AD284" s="267"/>
      <c r="AE284" s="267"/>
      <c r="AF284" s="267"/>
      <c r="AG284" s="267"/>
      <c r="AH284" s="267"/>
      <c r="AI284" s="267"/>
      <c r="AJ284" s="267"/>
      <c r="AK284" s="267"/>
      <c r="AL284" s="267"/>
    </row>
    <row r="285" spans="1:38" s="268" customFormat="1" ht="36" customHeight="1">
      <c r="A285" s="379">
        <v>7</v>
      </c>
      <c r="B285" s="380" t="s">
        <v>19</v>
      </c>
      <c r="C285" s="380" t="s">
        <v>54</v>
      </c>
      <c r="D285" s="289">
        <v>2</v>
      </c>
      <c r="E285" s="302" t="s">
        <v>22</v>
      </c>
      <c r="F285" s="302" t="s">
        <v>19</v>
      </c>
      <c r="G285" s="289">
        <v>5</v>
      </c>
      <c r="H285" s="289">
        <v>1</v>
      </c>
      <c r="I285" s="302" t="s">
        <v>22</v>
      </c>
      <c r="J285" s="289"/>
      <c r="K285" s="289"/>
      <c r="L285" s="307"/>
      <c r="M285" s="308"/>
      <c r="N285" s="410" t="s">
        <v>123</v>
      </c>
      <c r="O285" s="408">
        <f>O286</f>
        <v>26675000</v>
      </c>
      <c r="P285" s="408">
        <f t="shared" si="170"/>
        <v>0</v>
      </c>
      <c r="Q285" s="408">
        <f t="shared" si="170"/>
        <v>0</v>
      </c>
      <c r="R285" s="408">
        <f t="shared" si="170"/>
        <v>0</v>
      </c>
      <c r="S285" s="408">
        <f t="shared" si="170"/>
        <v>0</v>
      </c>
      <c r="T285" s="408">
        <f t="shared" si="170"/>
        <v>0</v>
      </c>
      <c r="U285" s="408">
        <f t="shared" si="170"/>
        <v>0</v>
      </c>
      <c r="V285" s="408">
        <f t="shared" si="170"/>
        <v>15582450</v>
      </c>
      <c r="W285" s="408">
        <f t="shared" si="170"/>
        <v>7405000</v>
      </c>
      <c r="X285" s="408">
        <f t="shared" si="170"/>
        <v>22987450</v>
      </c>
      <c r="Y285" s="409">
        <f>R285+U285+X285</f>
        <v>22987450</v>
      </c>
      <c r="Z285" s="421">
        <f>O285-Y285</f>
        <v>3687550</v>
      </c>
      <c r="AA285" s="393"/>
      <c r="AB285" s="267"/>
      <c r="AC285" s="267"/>
      <c r="AD285" s="267"/>
      <c r="AE285" s="267"/>
      <c r="AF285" s="267"/>
      <c r="AG285" s="267"/>
      <c r="AH285" s="267"/>
      <c r="AI285" s="267"/>
      <c r="AJ285" s="267"/>
      <c r="AK285" s="267"/>
      <c r="AL285" s="267"/>
    </row>
    <row r="286" spans="1:38" s="268" customFormat="1" ht="36" customHeight="1">
      <c r="A286" s="379">
        <v>7</v>
      </c>
      <c r="B286" s="380" t="s">
        <v>19</v>
      </c>
      <c r="C286" s="380" t="s">
        <v>54</v>
      </c>
      <c r="D286" s="289">
        <v>2</v>
      </c>
      <c r="E286" s="302" t="s">
        <v>22</v>
      </c>
      <c r="F286" s="302" t="s">
        <v>19</v>
      </c>
      <c r="G286" s="289">
        <v>5</v>
      </c>
      <c r="H286" s="289">
        <v>1</v>
      </c>
      <c r="I286" s="302" t="s">
        <v>22</v>
      </c>
      <c r="J286" s="302" t="s">
        <v>19</v>
      </c>
      <c r="K286" s="289"/>
      <c r="L286" s="307"/>
      <c r="M286" s="308"/>
      <c r="N286" s="410" t="s">
        <v>65</v>
      </c>
      <c r="O286" s="408">
        <f t="shared" ref="O286:X286" si="171">O287+O291</f>
        <v>26675000</v>
      </c>
      <c r="P286" s="408">
        <f t="shared" si="171"/>
        <v>0</v>
      </c>
      <c r="Q286" s="408">
        <f t="shared" si="171"/>
        <v>0</v>
      </c>
      <c r="R286" s="408">
        <f t="shared" si="171"/>
        <v>0</v>
      </c>
      <c r="S286" s="408">
        <f t="shared" si="171"/>
        <v>0</v>
      </c>
      <c r="T286" s="408">
        <f t="shared" si="171"/>
        <v>0</v>
      </c>
      <c r="U286" s="408">
        <f t="shared" si="171"/>
        <v>0</v>
      </c>
      <c r="V286" s="408">
        <f t="shared" si="171"/>
        <v>15582450</v>
      </c>
      <c r="W286" s="408">
        <f t="shared" si="171"/>
        <v>7405000</v>
      </c>
      <c r="X286" s="408">
        <f t="shared" si="171"/>
        <v>22987450</v>
      </c>
      <c r="Y286" s="409">
        <f t="shared" ref="Y286:Y292" si="172">R286+U286+X286</f>
        <v>22987450</v>
      </c>
      <c r="Z286" s="421">
        <f t="shared" ref="Z286:Z292" si="173">O286-Y286</f>
        <v>3687550</v>
      </c>
      <c r="AA286" s="393"/>
      <c r="AB286" s="267"/>
      <c r="AC286" s="267"/>
      <c r="AD286" s="267"/>
      <c r="AE286" s="267"/>
      <c r="AF286" s="267"/>
      <c r="AG286" s="267"/>
      <c r="AH286" s="267"/>
      <c r="AI286" s="267"/>
      <c r="AJ286" s="267"/>
      <c r="AK286" s="267"/>
      <c r="AL286" s="267"/>
    </row>
    <row r="287" spans="1:38" s="268" customFormat="1" ht="36" customHeight="1">
      <c r="A287" s="379">
        <v>7</v>
      </c>
      <c r="B287" s="380" t="s">
        <v>19</v>
      </c>
      <c r="C287" s="380" t="s">
        <v>54</v>
      </c>
      <c r="D287" s="289">
        <v>2</v>
      </c>
      <c r="E287" s="302" t="s">
        <v>22</v>
      </c>
      <c r="F287" s="302" t="s">
        <v>19</v>
      </c>
      <c r="G287" s="289">
        <v>5</v>
      </c>
      <c r="H287" s="289">
        <v>1</v>
      </c>
      <c r="I287" s="302" t="s">
        <v>22</v>
      </c>
      <c r="J287" s="302" t="s">
        <v>19</v>
      </c>
      <c r="K287" s="302" t="s">
        <v>19</v>
      </c>
      <c r="L287" s="307"/>
      <c r="M287" s="308"/>
      <c r="N287" s="410" t="s">
        <v>51</v>
      </c>
      <c r="O287" s="408">
        <f t="shared" ref="O287:X287" si="174">SUM(O288:O290)</f>
        <v>13625000</v>
      </c>
      <c r="P287" s="408">
        <f t="shared" si="174"/>
        <v>0</v>
      </c>
      <c r="Q287" s="408">
        <f t="shared" si="174"/>
        <v>0</v>
      </c>
      <c r="R287" s="408">
        <f t="shared" si="174"/>
        <v>0</v>
      </c>
      <c r="S287" s="408">
        <f t="shared" si="174"/>
        <v>0</v>
      </c>
      <c r="T287" s="408">
        <f t="shared" si="174"/>
        <v>0</v>
      </c>
      <c r="U287" s="408">
        <f t="shared" si="174"/>
        <v>0</v>
      </c>
      <c r="V287" s="408">
        <f t="shared" si="174"/>
        <v>6582450</v>
      </c>
      <c r="W287" s="408">
        <f t="shared" si="174"/>
        <v>4305000</v>
      </c>
      <c r="X287" s="408">
        <f t="shared" si="174"/>
        <v>10887450</v>
      </c>
      <c r="Y287" s="409">
        <f t="shared" si="172"/>
        <v>10887450</v>
      </c>
      <c r="Z287" s="421">
        <f t="shared" si="173"/>
        <v>2737550</v>
      </c>
      <c r="AA287" s="393"/>
      <c r="AB287" s="267"/>
      <c r="AC287" s="267"/>
      <c r="AD287" s="267"/>
      <c r="AE287" s="267"/>
      <c r="AF287" s="267"/>
      <c r="AG287" s="267"/>
      <c r="AH287" s="267"/>
      <c r="AI287" s="267"/>
      <c r="AJ287" s="267"/>
      <c r="AK287" s="267"/>
      <c r="AL287" s="267"/>
    </row>
    <row r="288" spans="1:38" s="268" customFormat="1" ht="47.25" customHeight="1">
      <c r="A288" s="384">
        <v>7</v>
      </c>
      <c r="B288" s="385" t="s">
        <v>19</v>
      </c>
      <c r="C288" s="385" t="s">
        <v>54</v>
      </c>
      <c r="D288" s="307">
        <v>2</v>
      </c>
      <c r="E288" s="306" t="s">
        <v>22</v>
      </c>
      <c r="F288" s="306" t="s">
        <v>19</v>
      </c>
      <c r="G288" s="307">
        <v>5</v>
      </c>
      <c r="H288" s="307">
        <v>1</v>
      </c>
      <c r="I288" s="306" t="s">
        <v>22</v>
      </c>
      <c r="J288" s="306" t="s">
        <v>19</v>
      </c>
      <c r="K288" s="306" t="s">
        <v>19</v>
      </c>
      <c r="L288" s="306" t="s">
        <v>56</v>
      </c>
      <c r="M288" s="308">
        <v>6</v>
      </c>
      <c r="N288" s="318" t="s">
        <v>134</v>
      </c>
      <c r="O288" s="401">
        <v>0</v>
      </c>
      <c r="P288" s="340"/>
      <c r="Q288" s="340"/>
      <c r="R288" s="340">
        <f>P288+Q288</f>
        <v>0</v>
      </c>
      <c r="S288" s="340"/>
      <c r="T288" s="340"/>
      <c r="U288" s="340"/>
      <c r="V288" s="340"/>
      <c r="W288" s="340"/>
      <c r="X288" s="401">
        <f>SUM(V288:W288)</f>
        <v>0</v>
      </c>
      <c r="Y288" s="340">
        <f t="shared" si="172"/>
        <v>0</v>
      </c>
      <c r="Z288" s="341">
        <f t="shared" si="173"/>
        <v>0</v>
      </c>
      <c r="AA288" s="393"/>
      <c r="AB288" s="267"/>
      <c r="AC288" s="267"/>
      <c r="AD288" s="267"/>
      <c r="AE288" s="267"/>
      <c r="AF288" s="267"/>
      <c r="AG288" s="267"/>
      <c r="AH288" s="267"/>
      <c r="AI288" s="267"/>
      <c r="AJ288" s="267"/>
      <c r="AK288" s="267"/>
      <c r="AL288" s="267"/>
    </row>
    <row r="289" spans="1:38" s="268" customFormat="1" ht="36" customHeight="1">
      <c r="A289" s="384">
        <v>7</v>
      </c>
      <c r="B289" s="385" t="s">
        <v>19</v>
      </c>
      <c r="C289" s="385" t="s">
        <v>54</v>
      </c>
      <c r="D289" s="307">
        <v>2</v>
      </c>
      <c r="E289" s="306" t="s">
        <v>22</v>
      </c>
      <c r="F289" s="306" t="s">
        <v>19</v>
      </c>
      <c r="G289" s="307">
        <v>5</v>
      </c>
      <c r="H289" s="307">
        <v>1</v>
      </c>
      <c r="I289" s="306" t="s">
        <v>22</v>
      </c>
      <c r="J289" s="306" t="s">
        <v>19</v>
      </c>
      <c r="K289" s="306" t="s">
        <v>19</v>
      </c>
      <c r="L289" s="306" t="s">
        <v>56</v>
      </c>
      <c r="M289" s="308">
        <v>9</v>
      </c>
      <c r="N289" s="318" t="s">
        <v>270</v>
      </c>
      <c r="O289" s="401">
        <v>0</v>
      </c>
      <c r="P289" s="340"/>
      <c r="Q289" s="340"/>
      <c r="R289" s="340"/>
      <c r="S289" s="340"/>
      <c r="T289" s="340"/>
      <c r="U289" s="340"/>
      <c r="V289" s="340"/>
      <c r="W289" s="340"/>
      <c r="X289" s="401"/>
      <c r="Y289" s="340"/>
      <c r="Z289" s="341">
        <f t="shared" si="173"/>
        <v>0</v>
      </c>
      <c r="AA289" s="393"/>
      <c r="AB289" s="267"/>
      <c r="AC289" s="267"/>
      <c r="AD289" s="267"/>
      <c r="AE289" s="267"/>
      <c r="AF289" s="267"/>
      <c r="AG289" s="267"/>
      <c r="AH289" s="267"/>
      <c r="AI289" s="267"/>
      <c r="AJ289" s="267"/>
      <c r="AK289" s="267"/>
      <c r="AL289" s="267"/>
    </row>
    <row r="290" spans="1:38" s="268" customFormat="1" ht="36" customHeight="1">
      <c r="A290" s="384">
        <v>7</v>
      </c>
      <c r="B290" s="385" t="s">
        <v>19</v>
      </c>
      <c r="C290" s="385" t="s">
        <v>54</v>
      </c>
      <c r="D290" s="307">
        <v>2</v>
      </c>
      <c r="E290" s="306" t="s">
        <v>22</v>
      </c>
      <c r="F290" s="306" t="s">
        <v>19</v>
      </c>
      <c r="G290" s="307">
        <v>5</v>
      </c>
      <c r="H290" s="307">
        <v>1</v>
      </c>
      <c r="I290" s="306" t="s">
        <v>22</v>
      </c>
      <c r="J290" s="306" t="s">
        <v>19</v>
      </c>
      <c r="K290" s="306" t="s">
        <v>19</v>
      </c>
      <c r="L290" s="306" t="s">
        <v>66</v>
      </c>
      <c r="M290" s="417">
        <v>2</v>
      </c>
      <c r="N290" s="407" t="s">
        <v>126</v>
      </c>
      <c r="O290" s="401">
        <v>13625000</v>
      </c>
      <c r="P290" s="340"/>
      <c r="Q290" s="340"/>
      <c r="R290" s="340">
        <f>P290+Q290</f>
        <v>0</v>
      </c>
      <c r="S290" s="340"/>
      <c r="T290" s="340"/>
      <c r="U290" s="340"/>
      <c r="V290" s="340">
        <f>'[1]SPJ FUNGSIONAL '!$X$290</f>
        <v>6582450</v>
      </c>
      <c r="W290" s="340">
        <v>4305000</v>
      </c>
      <c r="X290" s="401">
        <f>SUM(V290:W290)</f>
        <v>10887450</v>
      </c>
      <c r="Y290" s="340">
        <f t="shared" ref="Y290" si="175">R290+U290+X290</f>
        <v>10887450</v>
      </c>
      <c r="Z290" s="341">
        <f t="shared" si="173"/>
        <v>2737550</v>
      </c>
      <c r="AA290" s="393"/>
      <c r="AB290" s="267"/>
      <c r="AC290" s="267"/>
      <c r="AD290" s="267"/>
      <c r="AE290" s="267"/>
      <c r="AF290" s="267"/>
      <c r="AG290" s="267"/>
      <c r="AH290" s="267"/>
      <c r="AI290" s="267"/>
      <c r="AJ290" s="267"/>
      <c r="AK290" s="267"/>
      <c r="AL290" s="267"/>
    </row>
    <row r="291" spans="1:38" s="268" customFormat="1" ht="36" customHeight="1">
      <c r="A291" s="379">
        <v>7</v>
      </c>
      <c r="B291" s="380" t="s">
        <v>19</v>
      </c>
      <c r="C291" s="380" t="s">
        <v>54</v>
      </c>
      <c r="D291" s="289">
        <v>2</v>
      </c>
      <c r="E291" s="302" t="s">
        <v>22</v>
      </c>
      <c r="F291" s="302" t="s">
        <v>19</v>
      </c>
      <c r="G291" s="289">
        <v>5</v>
      </c>
      <c r="H291" s="289">
        <v>1</v>
      </c>
      <c r="I291" s="302" t="s">
        <v>22</v>
      </c>
      <c r="J291" s="302" t="s">
        <v>54</v>
      </c>
      <c r="K291" s="289"/>
      <c r="L291" s="307"/>
      <c r="M291" s="308"/>
      <c r="N291" s="410" t="s">
        <v>68</v>
      </c>
      <c r="O291" s="408">
        <f>O292</f>
        <v>13050000</v>
      </c>
      <c r="P291" s="408">
        <f t="shared" ref="P291:W292" si="176">P292</f>
        <v>0</v>
      </c>
      <c r="Q291" s="408">
        <f t="shared" si="176"/>
        <v>0</v>
      </c>
      <c r="R291" s="408">
        <f t="shared" si="176"/>
        <v>0</v>
      </c>
      <c r="S291" s="408">
        <f t="shared" si="176"/>
        <v>0</v>
      </c>
      <c r="T291" s="408">
        <f t="shared" si="176"/>
        <v>0</v>
      </c>
      <c r="U291" s="408">
        <f t="shared" si="176"/>
        <v>0</v>
      </c>
      <c r="V291" s="408">
        <f t="shared" si="176"/>
        <v>9000000</v>
      </c>
      <c r="W291" s="408">
        <f t="shared" si="176"/>
        <v>3100000</v>
      </c>
      <c r="X291" s="408">
        <f t="shared" ref="X291:X293" si="177">SUM(V291:W291)</f>
        <v>12100000</v>
      </c>
      <c r="Y291" s="409">
        <f t="shared" si="172"/>
        <v>12100000</v>
      </c>
      <c r="Z291" s="421">
        <f t="shared" si="173"/>
        <v>950000</v>
      </c>
      <c r="AA291" s="393"/>
      <c r="AB291" s="267"/>
      <c r="AC291" s="267"/>
      <c r="AD291" s="267"/>
      <c r="AE291" s="267"/>
      <c r="AF291" s="267"/>
      <c r="AG291" s="267"/>
      <c r="AH291" s="267"/>
      <c r="AI291" s="267"/>
      <c r="AJ291" s="267"/>
      <c r="AK291" s="267"/>
      <c r="AL291" s="267"/>
    </row>
    <row r="292" spans="1:38" s="268" customFormat="1" ht="36" customHeight="1">
      <c r="A292" s="379">
        <v>7</v>
      </c>
      <c r="B292" s="380" t="s">
        <v>19</v>
      </c>
      <c r="C292" s="380" t="s">
        <v>54</v>
      </c>
      <c r="D292" s="289">
        <v>2</v>
      </c>
      <c r="E292" s="302" t="s">
        <v>22</v>
      </c>
      <c r="F292" s="302" t="s">
        <v>19</v>
      </c>
      <c r="G292" s="289">
        <v>5</v>
      </c>
      <c r="H292" s="289">
        <v>1</v>
      </c>
      <c r="I292" s="302" t="s">
        <v>22</v>
      </c>
      <c r="J292" s="302" t="s">
        <v>54</v>
      </c>
      <c r="K292" s="302" t="s">
        <v>19</v>
      </c>
      <c r="L292" s="307"/>
      <c r="M292" s="308"/>
      <c r="N292" s="410" t="s">
        <v>69</v>
      </c>
      <c r="O292" s="408">
        <f>O293</f>
        <v>13050000</v>
      </c>
      <c r="P292" s="408">
        <f t="shared" si="176"/>
        <v>0</v>
      </c>
      <c r="Q292" s="408">
        <f t="shared" si="176"/>
        <v>0</v>
      </c>
      <c r="R292" s="408">
        <f t="shared" si="176"/>
        <v>0</v>
      </c>
      <c r="S292" s="408">
        <f t="shared" si="176"/>
        <v>0</v>
      </c>
      <c r="T292" s="408">
        <f t="shared" si="176"/>
        <v>0</v>
      </c>
      <c r="U292" s="408">
        <f t="shared" si="176"/>
        <v>0</v>
      </c>
      <c r="V292" s="408">
        <f t="shared" si="176"/>
        <v>9000000</v>
      </c>
      <c r="W292" s="408">
        <f t="shared" si="176"/>
        <v>3100000</v>
      </c>
      <c r="X292" s="408">
        <f t="shared" si="177"/>
        <v>12100000</v>
      </c>
      <c r="Y292" s="409">
        <f t="shared" si="172"/>
        <v>12100000</v>
      </c>
      <c r="Z292" s="421">
        <f t="shared" si="173"/>
        <v>950000</v>
      </c>
      <c r="AA292" s="393"/>
      <c r="AB292" s="267"/>
      <c r="AC292" s="267"/>
      <c r="AD292" s="267"/>
      <c r="AE292" s="267"/>
      <c r="AF292" s="267"/>
      <c r="AG292" s="267"/>
      <c r="AH292" s="267"/>
      <c r="AI292" s="267"/>
      <c r="AJ292" s="267"/>
      <c r="AK292" s="267"/>
      <c r="AL292" s="267"/>
    </row>
    <row r="293" spans="1:38" s="268" customFormat="1" ht="36" customHeight="1">
      <c r="A293" s="384">
        <v>7</v>
      </c>
      <c r="B293" s="385" t="s">
        <v>19</v>
      </c>
      <c r="C293" s="385" t="s">
        <v>54</v>
      </c>
      <c r="D293" s="307">
        <v>2</v>
      </c>
      <c r="E293" s="306" t="s">
        <v>22</v>
      </c>
      <c r="F293" s="306" t="s">
        <v>19</v>
      </c>
      <c r="G293" s="307">
        <v>5</v>
      </c>
      <c r="H293" s="307">
        <v>1</v>
      </c>
      <c r="I293" s="306" t="s">
        <v>22</v>
      </c>
      <c r="J293" s="306" t="s">
        <v>54</v>
      </c>
      <c r="K293" s="306" t="s">
        <v>19</v>
      </c>
      <c r="L293" s="306" t="s">
        <v>27</v>
      </c>
      <c r="M293" s="308">
        <v>3</v>
      </c>
      <c r="N293" s="407" t="s">
        <v>144</v>
      </c>
      <c r="O293" s="401">
        <v>13050000</v>
      </c>
      <c r="P293" s="340"/>
      <c r="Q293" s="340"/>
      <c r="R293" s="340"/>
      <c r="S293" s="340"/>
      <c r="T293" s="340"/>
      <c r="U293" s="340"/>
      <c r="V293" s="340">
        <f>'[1]SPJ FUNGSIONAL '!$X$293</f>
        <v>9000000</v>
      </c>
      <c r="W293" s="340">
        <v>3100000</v>
      </c>
      <c r="X293" s="401">
        <f t="shared" si="177"/>
        <v>12100000</v>
      </c>
      <c r="Y293" s="340">
        <f t="shared" ref="Y293" si="178">R293+U293+X293</f>
        <v>12100000</v>
      </c>
      <c r="Z293" s="341">
        <f>O293-Y293</f>
        <v>950000</v>
      </c>
      <c r="AA293" s="393"/>
      <c r="AB293" s="267"/>
      <c r="AC293" s="267"/>
      <c r="AD293" s="267"/>
      <c r="AE293" s="267"/>
      <c r="AF293" s="267"/>
      <c r="AG293" s="267"/>
      <c r="AH293" s="267"/>
      <c r="AI293" s="267"/>
      <c r="AJ293" s="267"/>
      <c r="AK293" s="267"/>
      <c r="AL293" s="267"/>
    </row>
    <row r="294" spans="1:38" s="268" customFormat="1" ht="16.5" customHeight="1">
      <c r="A294" s="269"/>
      <c r="B294" s="270"/>
      <c r="C294" s="270"/>
      <c r="D294" s="415"/>
      <c r="E294" s="415"/>
      <c r="F294" s="415"/>
      <c r="G294" s="415"/>
      <c r="H294" s="415"/>
      <c r="I294" s="415"/>
      <c r="J294" s="415"/>
      <c r="K294" s="415"/>
      <c r="L294" s="416"/>
      <c r="M294" s="417"/>
      <c r="N294" s="410"/>
      <c r="O294" s="401"/>
      <c r="P294" s="340"/>
      <c r="Q294" s="340"/>
      <c r="R294" s="340"/>
      <c r="S294" s="340"/>
      <c r="T294" s="340"/>
      <c r="U294" s="340"/>
      <c r="V294" s="340"/>
      <c r="W294" s="340"/>
      <c r="X294" s="340"/>
      <c r="Y294" s="340"/>
      <c r="Z294" s="341"/>
      <c r="AA294" s="393"/>
      <c r="AB294" s="267"/>
      <c r="AC294" s="267"/>
      <c r="AD294" s="267"/>
      <c r="AE294" s="267"/>
      <c r="AF294" s="267"/>
      <c r="AG294" s="267"/>
      <c r="AH294" s="267"/>
      <c r="AI294" s="267"/>
      <c r="AJ294" s="267"/>
      <c r="AK294" s="267"/>
      <c r="AL294" s="267"/>
    </row>
    <row r="295" spans="1:38" s="268" customFormat="1" ht="36" customHeight="1">
      <c r="A295" s="351">
        <v>7</v>
      </c>
      <c r="B295" s="352" t="s">
        <v>19</v>
      </c>
      <c r="C295" s="352" t="s">
        <v>32</v>
      </c>
      <c r="D295" s="353"/>
      <c r="E295" s="353"/>
      <c r="F295" s="353"/>
      <c r="G295" s="353"/>
      <c r="H295" s="353"/>
      <c r="I295" s="353"/>
      <c r="J295" s="353"/>
      <c r="K295" s="353"/>
      <c r="L295" s="353"/>
      <c r="M295" s="354"/>
      <c r="N295" s="355" t="s">
        <v>145</v>
      </c>
      <c r="O295" s="356">
        <f>O297</f>
        <v>426621450</v>
      </c>
      <c r="P295" s="358">
        <f>P297</f>
        <v>0</v>
      </c>
      <c r="Q295" s="358">
        <f>Q297</f>
        <v>0</v>
      </c>
      <c r="R295" s="357">
        <f>P295+Q295</f>
        <v>0</v>
      </c>
      <c r="S295" s="358">
        <f>S297</f>
        <v>0</v>
      </c>
      <c r="T295" s="358">
        <f>T297</f>
        <v>0</v>
      </c>
      <c r="U295" s="357">
        <f>S295+T295</f>
        <v>0</v>
      </c>
      <c r="V295" s="358">
        <f>V297</f>
        <v>300591105</v>
      </c>
      <c r="W295" s="358">
        <f>W297</f>
        <v>57260800</v>
      </c>
      <c r="X295" s="357">
        <f>V295+W295</f>
        <v>357851905</v>
      </c>
      <c r="Y295" s="359">
        <f>R295+U295+X295</f>
        <v>357851905</v>
      </c>
      <c r="Z295" s="422">
        <f>O295-Y295</f>
        <v>68769545</v>
      </c>
      <c r="AA295" s="393"/>
      <c r="AB295" s="267"/>
      <c r="AC295" s="267"/>
      <c r="AD295" s="267"/>
      <c r="AE295" s="267"/>
      <c r="AF295" s="267"/>
      <c r="AG295" s="267"/>
      <c r="AH295" s="267"/>
      <c r="AI295" s="267"/>
      <c r="AJ295" s="267"/>
      <c r="AK295" s="267"/>
      <c r="AL295" s="267"/>
    </row>
    <row r="296" spans="1:38" s="268" customFormat="1" ht="11.25" customHeight="1">
      <c r="A296" s="345"/>
      <c r="B296" s="346"/>
      <c r="C296" s="346"/>
      <c r="D296" s="346"/>
      <c r="E296" s="346"/>
      <c r="F296" s="346"/>
      <c r="G296" s="346"/>
      <c r="H296" s="346"/>
      <c r="I296" s="346"/>
      <c r="J296" s="346"/>
      <c r="K296" s="346"/>
      <c r="L296" s="346"/>
      <c r="M296" s="347"/>
      <c r="N296" s="348"/>
      <c r="O296" s="381"/>
      <c r="P296" s="382"/>
      <c r="Q296" s="382"/>
      <c r="R296" s="361"/>
      <c r="S296" s="382"/>
      <c r="T296" s="382"/>
      <c r="U296" s="361"/>
      <c r="V296" s="382"/>
      <c r="W296" s="382"/>
      <c r="X296" s="361"/>
      <c r="Y296" s="361"/>
      <c r="Z296" s="383"/>
      <c r="AA296" s="393"/>
      <c r="AB296" s="267"/>
      <c r="AC296" s="267"/>
      <c r="AD296" s="267"/>
      <c r="AE296" s="267"/>
      <c r="AF296" s="267"/>
      <c r="AG296" s="267"/>
      <c r="AH296" s="267"/>
      <c r="AI296" s="267"/>
      <c r="AJ296" s="267"/>
      <c r="AK296" s="267"/>
      <c r="AL296" s="267"/>
    </row>
    <row r="297" spans="1:38" s="268" customFormat="1" ht="52.5" customHeight="1">
      <c r="A297" s="362">
        <v>7</v>
      </c>
      <c r="B297" s="363" t="s">
        <v>19</v>
      </c>
      <c r="C297" s="363" t="s">
        <v>32</v>
      </c>
      <c r="D297" s="363" t="s">
        <v>64</v>
      </c>
      <c r="E297" s="363" t="s">
        <v>19</v>
      </c>
      <c r="F297" s="364"/>
      <c r="G297" s="364"/>
      <c r="H297" s="364"/>
      <c r="I297" s="364"/>
      <c r="J297" s="364"/>
      <c r="K297" s="364"/>
      <c r="L297" s="364"/>
      <c r="M297" s="386"/>
      <c r="N297" s="283" t="s">
        <v>146</v>
      </c>
      <c r="O297" s="387">
        <f>O299+O324</f>
        <v>426621450</v>
      </c>
      <c r="P297" s="402">
        <f>P299+P324</f>
        <v>0</v>
      </c>
      <c r="Q297" s="402">
        <f>Q299+Q324</f>
        <v>0</v>
      </c>
      <c r="R297" s="368">
        <f>P297+Q297</f>
        <v>0</v>
      </c>
      <c r="S297" s="402">
        <f>S299+S324</f>
        <v>0</v>
      </c>
      <c r="T297" s="402">
        <f>T299+T324</f>
        <v>0</v>
      </c>
      <c r="U297" s="368">
        <f>S297+T297</f>
        <v>0</v>
      </c>
      <c r="V297" s="402">
        <f>V299+V324</f>
        <v>300591105</v>
      </c>
      <c r="W297" s="402">
        <f>W299+W324</f>
        <v>57260800</v>
      </c>
      <c r="X297" s="368">
        <f>V297+W297</f>
        <v>357851905</v>
      </c>
      <c r="Y297" s="285">
        <f>R297+U297+X297</f>
        <v>357851905</v>
      </c>
      <c r="Z297" s="343">
        <f>O297-Y297</f>
        <v>68769545</v>
      </c>
      <c r="AA297" s="393"/>
      <c r="AB297" s="267"/>
      <c r="AC297" s="267"/>
      <c r="AD297" s="267"/>
      <c r="AE297" s="267"/>
      <c r="AF297" s="267"/>
      <c r="AG297" s="267"/>
      <c r="AH297" s="267"/>
      <c r="AI297" s="267"/>
      <c r="AJ297" s="267"/>
      <c r="AK297" s="267"/>
      <c r="AL297" s="267"/>
    </row>
    <row r="298" spans="1:38" s="268" customFormat="1" ht="12.75" customHeight="1">
      <c r="A298" s="388"/>
      <c r="B298" s="389"/>
      <c r="C298" s="389"/>
      <c r="D298" s="389"/>
      <c r="E298" s="389"/>
      <c r="F298" s="389"/>
      <c r="G298" s="389"/>
      <c r="H298" s="389"/>
      <c r="I298" s="389"/>
      <c r="J298" s="389"/>
      <c r="K298" s="389"/>
      <c r="L298" s="389"/>
      <c r="M298" s="390"/>
      <c r="N298" s="272"/>
      <c r="O298" s="273"/>
      <c r="P298" s="418"/>
      <c r="Q298" s="418"/>
      <c r="R298" s="274"/>
      <c r="S298" s="418"/>
      <c r="T298" s="418"/>
      <c r="U298" s="274"/>
      <c r="V298" s="418"/>
      <c r="W298" s="418"/>
      <c r="X298" s="274"/>
      <c r="Y298" s="275"/>
      <c r="Z298" s="276"/>
      <c r="AA298" s="393"/>
      <c r="AB298" s="267"/>
      <c r="AC298" s="267"/>
      <c r="AD298" s="267"/>
      <c r="AE298" s="267"/>
      <c r="AF298" s="267"/>
      <c r="AG298" s="267"/>
      <c r="AH298" s="267"/>
      <c r="AI298" s="267"/>
      <c r="AJ298" s="267"/>
      <c r="AK298" s="267"/>
      <c r="AL298" s="267"/>
    </row>
    <row r="299" spans="1:38" s="268" customFormat="1" ht="84" customHeight="1">
      <c r="A299" s="371">
        <v>7</v>
      </c>
      <c r="B299" s="372" t="s">
        <v>19</v>
      </c>
      <c r="C299" s="372" t="s">
        <v>32</v>
      </c>
      <c r="D299" s="297">
        <v>2</v>
      </c>
      <c r="E299" s="296" t="s">
        <v>19</v>
      </c>
      <c r="F299" s="296" t="s">
        <v>54</v>
      </c>
      <c r="G299" s="419"/>
      <c r="H299" s="419"/>
      <c r="I299" s="419"/>
      <c r="J299" s="419"/>
      <c r="K299" s="419"/>
      <c r="L299" s="419"/>
      <c r="M299" s="420"/>
      <c r="N299" s="321" t="s">
        <v>147</v>
      </c>
      <c r="O299" s="300">
        <f>O300</f>
        <v>365261450</v>
      </c>
      <c r="P299" s="377">
        <f t="shared" ref="P299:Q300" si="179">P300</f>
        <v>0</v>
      </c>
      <c r="Q299" s="377">
        <f t="shared" si="179"/>
        <v>0</v>
      </c>
      <c r="R299" s="301">
        <f>P299+Q299</f>
        <v>0</v>
      </c>
      <c r="S299" s="377">
        <f>S300</f>
        <v>0</v>
      </c>
      <c r="T299" s="377">
        <f>T300</f>
        <v>0</v>
      </c>
      <c r="U299" s="301">
        <f t="shared" ref="U299:U309" si="180">S299+T299</f>
        <v>0</v>
      </c>
      <c r="V299" s="377">
        <f>V300</f>
        <v>278607930</v>
      </c>
      <c r="W299" s="377">
        <f>W300</f>
        <v>36768800</v>
      </c>
      <c r="X299" s="301">
        <f t="shared" ref="X299:X307" si="181">V299+W299</f>
        <v>315376730</v>
      </c>
      <c r="Y299" s="301">
        <f>R299+U299+X299</f>
        <v>315376730</v>
      </c>
      <c r="Z299" s="300">
        <f>O299-Y299</f>
        <v>49884720</v>
      </c>
      <c r="AA299" s="393"/>
      <c r="AB299" s="267"/>
      <c r="AC299" s="267"/>
      <c r="AD299" s="267"/>
      <c r="AE299" s="413">
        <f>W299</f>
        <v>36768800</v>
      </c>
      <c r="AF299" s="267"/>
      <c r="AG299" s="267"/>
      <c r="AH299" s="267"/>
      <c r="AI299" s="267"/>
      <c r="AJ299" s="267"/>
      <c r="AK299" s="267"/>
      <c r="AL299" s="267"/>
    </row>
    <row r="300" spans="1:38" s="268" customFormat="1" ht="36" customHeight="1">
      <c r="A300" s="379">
        <v>7</v>
      </c>
      <c r="B300" s="380" t="s">
        <v>19</v>
      </c>
      <c r="C300" s="380" t="s">
        <v>32</v>
      </c>
      <c r="D300" s="289">
        <v>2</v>
      </c>
      <c r="E300" s="302" t="s">
        <v>19</v>
      </c>
      <c r="F300" s="302" t="s">
        <v>54</v>
      </c>
      <c r="G300" s="289">
        <v>5</v>
      </c>
      <c r="H300" s="289">
        <v>1</v>
      </c>
      <c r="I300" s="302" t="s">
        <v>22</v>
      </c>
      <c r="J300" s="289"/>
      <c r="K300" s="289"/>
      <c r="L300" s="307"/>
      <c r="M300" s="308"/>
      <c r="N300" s="410" t="s">
        <v>123</v>
      </c>
      <c r="O300" s="408">
        <f>O301+O310+O317+O320</f>
        <v>365261450</v>
      </c>
      <c r="P300" s="408">
        <f t="shared" si="179"/>
        <v>0</v>
      </c>
      <c r="Q300" s="408">
        <f t="shared" si="179"/>
        <v>0</v>
      </c>
      <c r="R300" s="409">
        <f>P300+Q300</f>
        <v>0</v>
      </c>
      <c r="S300" s="408">
        <f>S301</f>
        <v>0</v>
      </c>
      <c r="T300" s="408">
        <f>T301</f>
        <v>0</v>
      </c>
      <c r="U300" s="409">
        <f t="shared" si="180"/>
        <v>0</v>
      </c>
      <c r="V300" s="408">
        <f>V301+V310+V317+V320</f>
        <v>278607930</v>
      </c>
      <c r="W300" s="408">
        <f>W301+W310+W317+W320</f>
        <v>36768800</v>
      </c>
      <c r="X300" s="409">
        <f t="shared" si="181"/>
        <v>315376730</v>
      </c>
      <c r="Y300" s="409">
        <f>R300+U300+X300</f>
        <v>315376730</v>
      </c>
      <c r="Z300" s="421">
        <f>O300-Y300</f>
        <v>49884720</v>
      </c>
      <c r="AA300" s="393"/>
      <c r="AB300" s="267"/>
      <c r="AC300" s="267"/>
      <c r="AD300" s="267"/>
      <c r="AE300" s="267">
        <v>165949880</v>
      </c>
      <c r="AF300" s="267"/>
      <c r="AG300" s="267"/>
      <c r="AH300" s="267"/>
      <c r="AI300" s="267"/>
      <c r="AJ300" s="267"/>
      <c r="AK300" s="267"/>
      <c r="AL300" s="267"/>
    </row>
    <row r="301" spans="1:38" s="268" customFormat="1" ht="36" customHeight="1">
      <c r="A301" s="379">
        <v>7</v>
      </c>
      <c r="B301" s="380" t="s">
        <v>19</v>
      </c>
      <c r="C301" s="380" t="s">
        <v>32</v>
      </c>
      <c r="D301" s="289">
        <v>2</v>
      </c>
      <c r="E301" s="302" t="s">
        <v>19</v>
      </c>
      <c r="F301" s="302" t="s">
        <v>54</v>
      </c>
      <c r="G301" s="289">
        <v>5</v>
      </c>
      <c r="H301" s="289">
        <v>1</v>
      </c>
      <c r="I301" s="302" t="s">
        <v>22</v>
      </c>
      <c r="J301" s="302" t="s">
        <v>19</v>
      </c>
      <c r="K301" s="289"/>
      <c r="L301" s="307"/>
      <c r="M301" s="308"/>
      <c r="N301" s="410" t="s">
        <v>65</v>
      </c>
      <c r="O301" s="408">
        <f>O302</f>
        <v>204411450</v>
      </c>
      <c r="P301" s="408">
        <f>P302+P319</f>
        <v>0</v>
      </c>
      <c r="Q301" s="408">
        <f>Q302+Q319</f>
        <v>0</v>
      </c>
      <c r="R301" s="409">
        <f t="shared" ref="R301:R309" si="182">P301+Q301</f>
        <v>0</v>
      </c>
      <c r="S301" s="408">
        <f>S302+S319</f>
        <v>0</v>
      </c>
      <c r="T301" s="408">
        <f>T302+T319</f>
        <v>0</v>
      </c>
      <c r="U301" s="409">
        <f t="shared" si="180"/>
        <v>0</v>
      </c>
      <c r="V301" s="408">
        <f>V302</f>
        <v>156057930</v>
      </c>
      <c r="W301" s="408">
        <f>W302</f>
        <v>13168800</v>
      </c>
      <c r="X301" s="409">
        <f t="shared" si="181"/>
        <v>169226730</v>
      </c>
      <c r="Y301" s="409">
        <f t="shared" ref="Y301:Y307" si="183">R301+U301+X301</f>
        <v>169226730</v>
      </c>
      <c r="Z301" s="421">
        <f t="shared" ref="Z301:Z322" si="184">O301-Y301</f>
        <v>35184720</v>
      </c>
      <c r="AA301" s="393"/>
      <c r="AB301" s="267"/>
      <c r="AC301" s="267"/>
      <c r="AD301" s="267"/>
      <c r="AE301" s="413">
        <f>AE299-AE300</f>
        <v>-129181080</v>
      </c>
      <c r="AF301" s="267"/>
      <c r="AG301" s="267"/>
      <c r="AH301" s="267"/>
      <c r="AI301" s="267"/>
      <c r="AJ301" s="267"/>
      <c r="AK301" s="267"/>
      <c r="AL301" s="267"/>
    </row>
    <row r="302" spans="1:38" s="268" customFormat="1" ht="36" customHeight="1">
      <c r="A302" s="379">
        <v>7</v>
      </c>
      <c r="B302" s="380" t="s">
        <v>19</v>
      </c>
      <c r="C302" s="380" t="s">
        <v>32</v>
      </c>
      <c r="D302" s="289">
        <v>2</v>
      </c>
      <c r="E302" s="302" t="s">
        <v>19</v>
      </c>
      <c r="F302" s="302" t="s">
        <v>54</v>
      </c>
      <c r="G302" s="289">
        <v>5</v>
      </c>
      <c r="H302" s="289">
        <v>1</v>
      </c>
      <c r="I302" s="302" t="s">
        <v>22</v>
      </c>
      <c r="J302" s="302" t="s">
        <v>19</v>
      </c>
      <c r="K302" s="302" t="s">
        <v>19</v>
      </c>
      <c r="L302" s="307"/>
      <c r="M302" s="308"/>
      <c r="N302" s="410" t="s">
        <v>51</v>
      </c>
      <c r="O302" s="408">
        <f>SUM(O303:O309)</f>
        <v>204411450</v>
      </c>
      <c r="P302" s="408">
        <f>SUM(P304:P309)</f>
        <v>0</v>
      </c>
      <c r="Q302" s="408">
        <f>SUM(Q304:Q309)</f>
        <v>0</v>
      </c>
      <c r="R302" s="409">
        <f t="shared" si="182"/>
        <v>0</v>
      </c>
      <c r="S302" s="408">
        <f>SUM(S304:S309)</f>
        <v>0</v>
      </c>
      <c r="T302" s="408">
        <f>SUM(T304:T309)</f>
        <v>0</v>
      </c>
      <c r="U302" s="409">
        <f t="shared" si="180"/>
        <v>0</v>
      </c>
      <c r="V302" s="408">
        <f>SUM(V303:V309)</f>
        <v>156057930</v>
      </c>
      <c r="W302" s="408">
        <f>SUM(W303:W309)</f>
        <v>13168800</v>
      </c>
      <c r="X302" s="409">
        <f t="shared" si="181"/>
        <v>169226730</v>
      </c>
      <c r="Y302" s="409">
        <f t="shared" si="183"/>
        <v>169226730</v>
      </c>
      <c r="Z302" s="421">
        <f t="shared" si="184"/>
        <v>35184720</v>
      </c>
      <c r="AA302" s="393"/>
      <c r="AB302" s="267"/>
      <c r="AC302" s="267"/>
      <c r="AD302" s="267"/>
      <c r="AE302" s="267"/>
      <c r="AF302" s="267"/>
      <c r="AG302" s="267"/>
      <c r="AH302" s="267"/>
      <c r="AI302" s="267"/>
      <c r="AJ302" s="267"/>
      <c r="AK302" s="267"/>
      <c r="AL302" s="267"/>
    </row>
    <row r="303" spans="1:38" s="268" customFormat="1" ht="36" customHeight="1">
      <c r="A303" s="384">
        <v>7</v>
      </c>
      <c r="B303" s="385" t="s">
        <v>19</v>
      </c>
      <c r="C303" s="394" t="s">
        <v>148</v>
      </c>
      <c r="D303" s="307">
        <v>2</v>
      </c>
      <c r="E303" s="306" t="s">
        <v>19</v>
      </c>
      <c r="F303" s="306" t="s">
        <v>54</v>
      </c>
      <c r="G303" s="307">
        <v>5</v>
      </c>
      <c r="H303" s="307">
        <v>1</v>
      </c>
      <c r="I303" s="306" t="s">
        <v>22</v>
      </c>
      <c r="J303" s="306" t="s">
        <v>19</v>
      </c>
      <c r="K303" s="306" t="s">
        <v>19</v>
      </c>
      <c r="L303" s="306" t="s">
        <v>56</v>
      </c>
      <c r="M303" s="308">
        <v>4</v>
      </c>
      <c r="N303" s="318" t="s">
        <v>282</v>
      </c>
      <c r="O303" s="401">
        <v>30000</v>
      </c>
      <c r="P303" s="408"/>
      <c r="Q303" s="408"/>
      <c r="R303" s="409"/>
      <c r="S303" s="408"/>
      <c r="T303" s="408"/>
      <c r="U303" s="409"/>
      <c r="V303" s="408"/>
      <c r="W303" s="408"/>
      <c r="X303" s="409"/>
      <c r="Y303" s="409"/>
      <c r="Z303" s="421"/>
      <c r="AA303" s="393"/>
      <c r="AB303" s="267"/>
      <c r="AC303" s="267"/>
      <c r="AD303" s="267"/>
      <c r="AE303" s="267"/>
      <c r="AF303" s="267"/>
      <c r="AG303" s="267"/>
      <c r="AH303" s="267"/>
      <c r="AI303" s="267"/>
      <c r="AJ303" s="267"/>
      <c r="AK303" s="267"/>
      <c r="AL303" s="267"/>
    </row>
    <row r="304" spans="1:38" s="268" customFormat="1" ht="36" customHeight="1">
      <c r="A304" s="384">
        <v>7</v>
      </c>
      <c r="B304" s="385" t="s">
        <v>19</v>
      </c>
      <c r="C304" s="394" t="s">
        <v>148</v>
      </c>
      <c r="D304" s="307">
        <v>2</v>
      </c>
      <c r="E304" s="306" t="s">
        <v>19</v>
      </c>
      <c r="F304" s="306" t="s">
        <v>54</v>
      </c>
      <c r="G304" s="307">
        <v>5</v>
      </c>
      <c r="H304" s="307">
        <v>1</v>
      </c>
      <c r="I304" s="306" t="s">
        <v>22</v>
      </c>
      <c r="J304" s="306" t="s">
        <v>19</v>
      </c>
      <c r="K304" s="306" t="s">
        <v>19</v>
      </c>
      <c r="L304" s="306" t="s">
        <v>56</v>
      </c>
      <c r="M304" s="308">
        <v>6</v>
      </c>
      <c r="N304" s="318" t="s">
        <v>134</v>
      </c>
      <c r="O304" s="401">
        <v>3936450</v>
      </c>
      <c r="P304" s="340"/>
      <c r="Q304" s="340"/>
      <c r="R304" s="340">
        <f t="shared" si="182"/>
        <v>0</v>
      </c>
      <c r="S304" s="340"/>
      <c r="T304" s="340"/>
      <c r="U304" s="340">
        <f t="shared" si="180"/>
        <v>0</v>
      </c>
      <c r="V304" s="340">
        <f>'[3]SPJ FUNGSIONAL '!$X$298</f>
        <v>2369500</v>
      </c>
      <c r="W304" s="340">
        <v>405000</v>
      </c>
      <c r="X304" s="340">
        <f t="shared" si="181"/>
        <v>2774500</v>
      </c>
      <c r="Y304" s="340">
        <f t="shared" si="183"/>
        <v>2774500</v>
      </c>
      <c r="Z304" s="341">
        <f t="shared" si="184"/>
        <v>1161950</v>
      </c>
      <c r="AA304" s="393"/>
      <c r="AB304" s="267"/>
      <c r="AC304" s="267"/>
      <c r="AD304" s="267"/>
      <c r="AE304" s="267"/>
      <c r="AF304" s="267"/>
      <c r="AG304" s="267"/>
      <c r="AH304" s="267"/>
      <c r="AI304" s="267"/>
      <c r="AJ304" s="267"/>
      <c r="AK304" s="267"/>
      <c r="AL304" s="267"/>
    </row>
    <row r="305" spans="1:38" s="268" customFormat="1" ht="45" customHeight="1">
      <c r="A305" s="384">
        <v>7</v>
      </c>
      <c r="B305" s="385" t="s">
        <v>19</v>
      </c>
      <c r="C305" s="385" t="s">
        <v>32</v>
      </c>
      <c r="D305" s="307">
        <v>2</v>
      </c>
      <c r="E305" s="306" t="s">
        <v>19</v>
      </c>
      <c r="F305" s="306" t="s">
        <v>54</v>
      </c>
      <c r="G305" s="307">
        <v>5</v>
      </c>
      <c r="H305" s="307">
        <v>1</v>
      </c>
      <c r="I305" s="306" t="s">
        <v>22</v>
      </c>
      <c r="J305" s="306" t="s">
        <v>19</v>
      </c>
      <c r="K305" s="306" t="s">
        <v>19</v>
      </c>
      <c r="L305" s="306" t="s">
        <v>52</v>
      </c>
      <c r="M305" s="417">
        <v>5</v>
      </c>
      <c r="N305" s="318" t="s">
        <v>136</v>
      </c>
      <c r="O305" s="401">
        <v>46000000</v>
      </c>
      <c r="P305" s="340"/>
      <c r="Q305" s="340"/>
      <c r="R305" s="340">
        <f t="shared" si="182"/>
        <v>0</v>
      </c>
      <c r="S305" s="340"/>
      <c r="T305" s="340"/>
      <c r="U305" s="340">
        <f t="shared" si="180"/>
        <v>0</v>
      </c>
      <c r="V305" s="340">
        <f>'[3]SPJ FUNGSIONAL '!$X$299</f>
        <v>40103000</v>
      </c>
      <c r="W305" s="340"/>
      <c r="X305" s="340">
        <f t="shared" si="181"/>
        <v>40103000</v>
      </c>
      <c r="Y305" s="340">
        <f t="shared" si="183"/>
        <v>40103000</v>
      </c>
      <c r="Z305" s="341">
        <f t="shared" si="184"/>
        <v>5897000</v>
      </c>
      <c r="AA305" s="393"/>
      <c r="AB305" s="267"/>
      <c r="AC305" s="267"/>
      <c r="AD305" s="267"/>
      <c r="AE305" s="267"/>
      <c r="AF305" s="267"/>
      <c r="AG305" s="267"/>
      <c r="AH305" s="267"/>
      <c r="AI305" s="267"/>
      <c r="AJ305" s="267"/>
      <c r="AK305" s="267"/>
      <c r="AL305" s="267"/>
    </row>
    <row r="306" spans="1:38" s="268" customFormat="1" ht="45" customHeight="1">
      <c r="A306" s="384">
        <v>7</v>
      </c>
      <c r="B306" s="385" t="s">
        <v>19</v>
      </c>
      <c r="C306" s="385" t="s">
        <v>32</v>
      </c>
      <c r="D306" s="307">
        <v>2</v>
      </c>
      <c r="E306" s="306" t="s">
        <v>19</v>
      </c>
      <c r="F306" s="306" t="s">
        <v>54</v>
      </c>
      <c r="G306" s="307">
        <v>5</v>
      </c>
      <c r="H306" s="307">
        <v>1</v>
      </c>
      <c r="I306" s="306" t="s">
        <v>22</v>
      </c>
      <c r="J306" s="306" t="s">
        <v>19</v>
      </c>
      <c r="K306" s="306" t="s">
        <v>19</v>
      </c>
      <c r="L306" s="306" t="s">
        <v>66</v>
      </c>
      <c r="M306" s="417">
        <v>2</v>
      </c>
      <c r="N306" s="407" t="s">
        <v>67</v>
      </c>
      <c r="O306" s="401">
        <v>4000000</v>
      </c>
      <c r="P306" s="340"/>
      <c r="Q306" s="340"/>
      <c r="R306" s="340"/>
      <c r="S306" s="340"/>
      <c r="T306" s="340"/>
      <c r="U306" s="340"/>
      <c r="V306" s="340">
        <f>'[3]SPJ FUNGSIONAL '!$X$300</f>
        <v>3164700</v>
      </c>
      <c r="W306" s="340"/>
      <c r="X306" s="340">
        <f t="shared" ref="X306" si="185">V306+W306</f>
        <v>3164700</v>
      </c>
      <c r="Y306" s="340">
        <f t="shared" ref="Y306" si="186">R306+U306+X306</f>
        <v>3164700</v>
      </c>
      <c r="Z306" s="341">
        <f t="shared" ref="Z306" si="187">O306-Y306</f>
        <v>835300</v>
      </c>
      <c r="AA306" s="393"/>
      <c r="AB306" s="267"/>
      <c r="AC306" s="267"/>
      <c r="AD306" s="267"/>
      <c r="AE306" s="267"/>
      <c r="AF306" s="267"/>
      <c r="AG306" s="267"/>
      <c r="AH306" s="267"/>
      <c r="AI306" s="267"/>
      <c r="AJ306" s="267"/>
      <c r="AK306" s="267"/>
      <c r="AL306" s="267"/>
    </row>
    <row r="307" spans="1:38" s="268" customFormat="1" ht="36" customHeight="1">
      <c r="A307" s="384">
        <v>7</v>
      </c>
      <c r="B307" s="385" t="s">
        <v>19</v>
      </c>
      <c r="C307" s="385" t="s">
        <v>32</v>
      </c>
      <c r="D307" s="307">
        <v>2</v>
      </c>
      <c r="E307" s="306" t="s">
        <v>19</v>
      </c>
      <c r="F307" s="306" t="s">
        <v>54</v>
      </c>
      <c r="G307" s="307">
        <v>5</v>
      </c>
      <c r="H307" s="307">
        <v>1</v>
      </c>
      <c r="I307" s="306" t="s">
        <v>22</v>
      </c>
      <c r="J307" s="306" t="s">
        <v>19</v>
      </c>
      <c r="K307" s="306" t="s">
        <v>19</v>
      </c>
      <c r="L307" s="306" t="s">
        <v>66</v>
      </c>
      <c r="M307" s="417">
        <v>3</v>
      </c>
      <c r="N307" s="407" t="s">
        <v>149</v>
      </c>
      <c r="O307" s="401">
        <v>4800000</v>
      </c>
      <c r="P307" s="340"/>
      <c r="Q307" s="340"/>
      <c r="R307" s="340">
        <f t="shared" si="182"/>
        <v>0</v>
      </c>
      <c r="S307" s="340"/>
      <c r="T307" s="340"/>
      <c r="U307" s="340">
        <f t="shared" si="180"/>
        <v>0</v>
      </c>
      <c r="V307" s="340">
        <f>'[4]SPJ FUNGSIONAL '!$X$300</f>
        <v>3780000</v>
      </c>
      <c r="W307" s="340"/>
      <c r="X307" s="340">
        <f t="shared" si="181"/>
        <v>3780000</v>
      </c>
      <c r="Y307" s="340">
        <f t="shared" si="183"/>
        <v>3780000</v>
      </c>
      <c r="Z307" s="341">
        <f t="shared" si="184"/>
        <v>1020000</v>
      </c>
      <c r="AA307" s="393"/>
      <c r="AB307" s="267"/>
      <c r="AC307" s="267"/>
      <c r="AD307" s="267"/>
      <c r="AE307" s="267"/>
      <c r="AF307" s="267"/>
      <c r="AG307" s="267"/>
      <c r="AH307" s="267"/>
      <c r="AI307" s="267"/>
      <c r="AJ307" s="267"/>
      <c r="AK307" s="267"/>
      <c r="AL307" s="267"/>
    </row>
    <row r="308" spans="1:38" s="268" customFormat="1" ht="36" customHeight="1">
      <c r="A308" s="384">
        <v>7</v>
      </c>
      <c r="B308" s="385" t="s">
        <v>19</v>
      </c>
      <c r="C308" s="385" t="s">
        <v>32</v>
      </c>
      <c r="D308" s="307">
        <v>2</v>
      </c>
      <c r="E308" s="306" t="s">
        <v>19</v>
      </c>
      <c r="F308" s="306" t="s">
        <v>54</v>
      </c>
      <c r="G308" s="307">
        <v>5</v>
      </c>
      <c r="H308" s="307">
        <v>1</v>
      </c>
      <c r="I308" s="306" t="s">
        <v>22</v>
      </c>
      <c r="J308" s="306" t="s">
        <v>19</v>
      </c>
      <c r="K308" s="306" t="s">
        <v>19</v>
      </c>
      <c r="L308" s="306" t="s">
        <v>66</v>
      </c>
      <c r="M308" s="417">
        <v>8</v>
      </c>
      <c r="N308" s="407" t="s">
        <v>127</v>
      </c>
      <c r="O308" s="401">
        <v>108145000</v>
      </c>
      <c r="P308" s="340"/>
      <c r="Q308" s="340"/>
      <c r="R308" s="340"/>
      <c r="S308" s="340"/>
      <c r="T308" s="340"/>
      <c r="U308" s="340"/>
      <c r="V308" s="340">
        <f>'[1]SPJ FUNGSIONAL '!$X$308</f>
        <v>69140730</v>
      </c>
      <c r="W308" s="340">
        <v>12763800</v>
      </c>
      <c r="X308" s="340">
        <f t="shared" ref="X308" si="188">V308+W308</f>
        <v>81904530</v>
      </c>
      <c r="Y308" s="340">
        <f t="shared" ref="Y308" si="189">R308+U308+X308</f>
        <v>81904530</v>
      </c>
      <c r="Z308" s="341">
        <f t="shared" ref="Z308" si="190">O308-Y308</f>
        <v>26240470</v>
      </c>
      <c r="AA308" s="393"/>
      <c r="AB308" s="267"/>
      <c r="AC308" s="267"/>
      <c r="AD308" s="267"/>
      <c r="AE308" s="267"/>
      <c r="AF308" s="267"/>
      <c r="AG308" s="267"/>
      <c r="AH308" s="267"/>
      <c r="AI308" s="267"/>
      <c r="AJ308" s="267"/>
      <c r="AK308" s="267"/>
      <c r="AL308" s="267"/>
    </row>
    <row r="309" spans="1:38" s="268" customFormat="1" ht="36" customHeight="1">
      <c r="A309" s="384">
        <v>7</v>
      </c>
      <c r="B309" s="385" t="s">
        <v>19</v>
      </c>
      <c r="C309" s="385" t="s">
        <v>32</v>
      </c>
      <c r="D309" s="307">
        <v>2</v>
      </c>
      <c r="E309" s="306" t="s">
        <v>19</v>
      </c>
      <c r="F309" s="306" t="s">
        <v>54</v>
      </c>
      <c r="G309" s="307">
        <v>5</v>
      </c>
      <c r="H309" s="307">
        <v>1</v>
      </c>
      <c r="I309" s="306" t="s">
        <v>22</v>
      </c>
      <c r="J309" s="306" t="s">
        <v>19</v>
      </c>
      <c r="K309" s="306" t="s">
        <v>19</v>
      </c>
      <c r="L309" s="306" t="s">
        <v>128</v>
      </c>
      <c r="M309" s="417">
        <v>5</v>
      </c>
      <c r="N309" s="407" t="s">
        <v>150</v>
      </c>
      <c r="O309" s="401">
        <v>37500000</v>
      </c>
      <c r="P309" s="340"/>
      <c r="Q309" s="340"/>
      <c r="R309" s="340">
        <f t="shared" si="182"/>
        <v>0</v>
      </c>
      <c r="S309" s="340"/>
      <c r="T309" s="340"/>
      <c r="U309" s="340">
        <f t="shared" si="180"/>
        <v>0</v>
      </c>
      <c r="V309" s="340">
        <f>'[1]SPJ FUNGSIONAL '!$X$309</f>
        <v>37500000</v>
      </c>
      <c r="W309" s="340"/>
      <c r="X309" s="340">
        <f t="shared" ref="X309:X316" si="191">V309+W309</f>
        <v>37500000</v>
      </c>
      <c r="Y309" s="340">
        <f t="shared" ref="Y309:Y316" si="192">R309+U309+X309</f>
        <v>37500000</v>
      </c>
      <c r="Z309" s="341">
        <f t="shared" si="184"/>
        <v>0</v>
      </c>
      <c r="AA309" s="393"/>
      <c r="AB309" s="267"/>
      <c r="AC309" s="267"/>
      <c r="AD309" s="267"/>
      <c r="AE309" s="267"/>
      <c r="AF309" s="267"/>
      <c r="AG309" s="267"/>
      <c r="AH309" s="267"/>
      <c r="AI309" s="267"/>
      <c r="AJ309" s="267"/>
      <c r="AK309" s="267"/>
      <c r="AL309" s="267"/>
    </row>
    <row r="310" spans="1:38" s="268" customFormat="1" ht="36" customHeight="1">
      <c r="A310" s="379">
        <v>7</v>
      </c>
      <c r="B310" s="380" t="s">
        <v>19</v>
      </c>
      <c r="C310" s="380" t="s">
        <v>32</v>
      </c>
      <c r="D310" s="289">
        <v>2</v>
      </c>
      <c r="E310" s="302" t="s">
        <v>19</v>
      </c>
      <c r="F310" s="302" t="s">
        <v>54</v>
      </c>
      <c r="G310" s="289">
        <v>5</v>
      </c>
      <c r="H310" s="289">
        <v>1</v>
      </c>
      <c r="I310" s="302" t="s">
        <v>22</v>
      </c>
      <c r="J310" s="302" t="s">
        <v>22</v>
      </c>
      <c r="K310" s="302"/>
      <c r="L310" s="302"/>
      <c r="M310" s="290"/>
      <c r="N310" s="316" t="s">
        <v>75</v>
      </c>
      <c r="O310" s="392">
        <f>O311</f>
        <v>71150000</v>
      </c>
      <c r="P310" s="311"/>
      <c r="Q310" s="311"/>
      <c r="R310" s="311"/>
      <c r="S310" s="311"/>
      <c r="T310" s="311"/>
      <c r="U310" s="311"/>
      <c r="V310" s="392">
        <f t="shared" ref="V310" si="193">V311</f>
        <v>50550000</v>
      </c>
      <c r="W310" s="392">
        <f>W311</f>
        <v>8000000</v>
      </c>
      <c r="X310" s="409">
        <f t="shared" si="191"/>
        <v>58550000</v>
      </c>
      <c r="Y310" s="409">
        <f t="shared" si="192"/>
        <v>58550000</v>
      </c>
      <c r="Z310" s="421">
        <f t="shared" si="184"/>
        <v>12600000</v>
      </c>
      <c r="AA310" s="393"/>
      <c r="AB310" s="267"/>
      <c r="AC310" s="267"/>
      <c r="AD310" s="267"/>
      <c r="AE310" s="267"/>
      <c r="AF310" s="267"/>
      <c r="AG310" s="267"/>
      <c r="AH310" s="267"/>
      <c r="AI310" s="267"/>
      <c r="AJ310" s="267"/>
      <c r="AK310" s="267"/>
      <c r="AL310" s="267"/>
    </row>
    <row r="311" spans="1:38" s="268" customFormat="1" ht="36" customHeight="1">
      <c r="A311" s="379">
        <v>7</v>
      </c>
      <c r="B311" s="380" t="s">
        <v>19</v>
      </c>
      <c r="C311" s="380" t="s">
        <v>32</v>
      </c>
      <c r="D311" s="289">
        <v>2</v>
      </c>
      <c r="E311" s="302" t="s">
        <v>19</v>
      </c>
      <c r="F311" s="302" t="s">
        <v>54</v>
      </c>
      <c r="G311" s="289">
        <v>5</v>
      </c>
      <c r="H311" s="289">
        <v>1</v>
      </c>
      <c r="I311" s="302" t="s">
        <v>22</v>
      </c>
      <c r="J311" s="302" t="s">
        <v>22</v>
      </c>
      <c r="K311" s="302" t="s">
        <v>19</v>
      </c>
      <c r="L311" s="302"/>
      <c r="M311" s="290"/>
      <c r="N311" s="316" t="s">
        <v>114</v>
      </c>
      <c r="O311" s="392">
        <f>SUM(O312:O316)</f>
        <v>71150000</v>
      </c>
      <c r="P311" s="392">
        <f t="shared" ref="P311:V311" si="194">SUM(P312:P316)</f>
        <v>0</v>
      </c>
      <c r="Q311" s="392">
        <f t="shared" si="194"/>
        <v>0</v>
      </c>
      <c r="R311" s="392">
        <f t="shared" si="194"/>
        <v>0</v>
      </c>
      <c r="S311" s="392">
        <f t="shared" si="194"/>
        <v>0</v>
      </c>
      <c r="T311" s="392">
        <f t="shared" si="194"/>
        <v>0</v>
      </c>
      <c r="U311" s="392">
        <f t="shared" si="194"/>
        <v>0</v>
      </c>
      <c r="V311" s="392">
        <f t="shared" si="194"/>
        <v>50550000</v>
      </c>
      <c r="W311" s="392">
        <f>SUM(W312:W316)</f>
        <v>8000000</v>
      </c>
      <c r="X311" s="409">
        <f t="shared" si="191"/>
        <v>58550000</v>
      </c>
      <c r="Y311" s="409">
        <f t="shared" si="192"/>
        <v>58550000</v>
      </c>
      <c r="Z311" s="421">
        <f t="shared" si="184"/>
        <v>12600000</v>
      </c>
      <c r="AA311" s="393"/>
      <c r="AB311" s="267"/>
      <c r="AC311" s="267"/>
      <c r="AD311" s="267"/>
      <c r="AE311" s="267"/>
      <c r="AF311" s="267"/>
      <c r="AG311" s="267"/>
      <c r="AH311" s="267"/>
      <c r="AI311" s="267"/>
      <c r="AJ311" s="267"/>
      <c r="AK311" s="267"/>
      <c r="AL311" s="267"/>
    </row>
    <row r="312" spans="1:38" s="268" customFormat="1" ht="48" customHeight="1">
      <c r="A312" s="384">
        <v>7</v>
      </c>
      <c r="B312" s="385" t="s">
        <v>19</v>
      </c>
      <c r="C312" s="385" t="s">
        <v>32</v>
      </c>
      <c r="D312" s="307">
        <v>2</v>
      </c>
      <c r="E312" s="306" t="s">
        <v>19</v>
      </c>
      <c r="F312" s="306" t="s">
        <v>54</v>
      </c>
      <c r="G312" s="307">
        <v>5</v>
      </c>
      <c r="H312" s="307">
        <v>1</v>
      </c>
      <c r="I312" s="306" t="s">
        <v>22</v>
      </c>
      <c r="J312" s="306" t="s">
        <v>22</v>
      </c>
      <c r="K312" s="306" t="s">
        <v>19</v>
      </c>
      <c r="L312" s="306" t="s">
        <v>27</v>
      </c>
      <c r="M312" s="308">
        <v>3</v>
      </c>
      <c r="N312" s="318" t="s">
        <v>115</v>
      </c>
      <c r="O312" s="319">
        <v>25050000</v>
      </c>
      <c r="P312" s="311"/>
      <c r="Q312" s="311"/>
      <c r="R312" s="311"/>
      <c r="S312" s="311"/>
      <c r="T312" s="311"/>
      <c r="U312" s="311"/>
      <c r="V312" s="311">
        <f>'[1]SPJ FUNGSIONAL '!$X$312</f>
        <v>25050000</v>
      </c>
      <c r="W312" s="311"/>
      <c r="X312" s="340">
        <f t="shared" si="191"/>
        <v>25050000</v>
      </c>
      <c r="Y312" s="340">
        <f t="shared" si="192"/>
        <v>25050000</v>
      </c>
      <c r="Z312" s="341">
        <f t="shared" si="184"/>
        <v>0</v>
      </c>
      <c r="AA312" s="393"/>
      <c r="AB312" s="267"/>
      <c r="AC312" s="267"/>
      <c r="AD312" s="267"/>
      <c r="AE312" s="267"/>
      <c r="AF312" s="267"/>
      <c r="AG312" s="267"/>
      <c r="AH312" s="267"/>
      <c r="AI312" s="267"/>
      <c r="AJ312" s="267"/>
      <c r="AK312" s="267"/>
      <c r="AL312" s="267"/>
    </row>
    <row r="313" spans="1:38" s="268" customFormat="1" ht="48" customHeight="1">
      <c r="A313" s="384">
        <v>7</v>
      </c>
      <c r="B313" s="385" t="s">
        <v>19</v>
      </c>
      <c r="C313" s="385" t="s">
        <v>32</v>
      </c>
      <c r="D313" s="307">
        <v>2</v>
      </c>
      <c r="E313" s="306" t="s">
        <v>19</v>
      </c>
      <c r="F313" s="306" t="s">
        <v>54</v>
      </c>
      <c r="G313" s="307">
        <v>5</v>
      </c>
      <c r="H313" s="307">
        <v>1</v>
      </c>
      <c r="I313" s="306" t="s">
        <v>22</v>
      </c>
      <c r="J313" s="306" t="s">
        <v>22</v>
      </c>
      <c r="K313" s="306" t="s">
        <v>19</v>
      </c>
      <c r="L313" s="306" t="s">
        <v>27</v>
      </c>
      <c r="M313" s="308">
        <v>4</v>
      </c>
      <c r="N313" s="318" t="s">
        <v>271</v>
      </c>
      <c r="O313" s="319">
        <v>0</v>
      </c>
      <c r="P313" s="311"/>
      <c r="Q313" s="311"/>
      <c r="R313" s="311"/>
      <c r="S313" s="311"/>
      <c r="T313" s="311"/>
      <c r="U313" s="311"/>
      <c r="V313" s="311"/>
      <c r="W313" s="311"/>
      <c r="X313" s="340">
        <f t="shared" ref="X313:X314" si="195">V313+W313</f>
        <v>0</v>
      </c>
      <c r="Y313" s="340">
        <f t="shared" ref="Y313:Y314" si="196">R313+U313+X313</f>
        <v>0</v>
      </c>
      <c r="Z313" s="341">
        <f t="shared" ref="Z313:Z314" si="197">O313-Y313</f>
        <v>0</v>
      </c>
      <c r="AA313" s="393"/>
      <c r="AB313" s="267"/>
      <c r="AC313" s="267"/>
      <c r="AD313" s="267"/>
      <c r="AE313" s="267"/>
      <c r="AF313" s="267"/>
      <c r="AG313" s="267"/>
      <c r="AH313" s="267"/>
      <c r="AI313" s="267"/>
      <c r="AJ313" s="267"/>
      <c r="AK313" s="267"/>
      <c r="AL313" s="267"/>
    </row>
    <row r="314" spans="1:38" s="268" customFormat="1" ht="48" customHeight="1">
      <c r="A314" s="384">
        <v>7</v>
      </c>
      <c r="B314" s="385" t="s">
        <v>19</v>
      </c>
      <c r="C314" s="385" t="s">
        <v>32</v>
      </c>
      <c r="D314" s="307">
        <v>2</v>
      </c>
      <c r="E314" s="306" t="s">
        <v>19</v>
      </c>
      <c r="F314" s="306" t="s">
        <v>54</v>
      </c>
      <c r="G314" s="307">
        <v>5</v>
      </c>
      <c r="H314" s="307">
        <v>1</v>
      </c>
      <c r="I314" s="306" t="s">
        <v>22</v>
      </c>
      <c r="J314" s="306" t="s">
        <v>22</v>
      </c>
      <c r="K314" s="306" t="s">
        <v>19</v>
      </c>
      <c r="L314" s="306" t="s">
        <v>27</v>
      </c>
      <c r="M314" s="308">
        <v>6</v>
      </c>
      <c r="N314" s="318" t="s">
        <v>291</v>
      </c>
      <c r="O314" s="319">
        <v>17600000</v>
      </c>
      <c r="P314" s="311"/>
      <c r="Q314" s="311"/>
      <c r="R314" s="311"/>
      <c r="S314" s="311"/>
      <c r="T314" s="311"/>
      <c r="U314" s="311"/>
      <c r="V314" s="311"/>
      <c r="W314" s="311">
        <v>8000000</v>
      </c>
      <c r="X314" s="340">
        <f t="shared" si="195"/>
        <v>8000000</v>
      </c>
      <c r="Y314" s="340">
        <f t="shared" si="196"/>
        <v>8000000</v>
      </c>
      <c r="Z314" s="341">
        <f t="shared" si="197"/>
        <v>9600000</v>
      </c>
      <c r="AA314" s="393"/>
      <c r="AB314" s="267"/>
      <c r="AC314" s="267"/>
      <c r="AD314" s="267"/>
      <c r="AE314" s="267"/>
      <c r="AF314" s="267"/>
      <c r="AG314" s="267"/>
      <c r="AH314" s="267"/>
      <c r="AI314" s="267"/>
      <c r="AJ314" s="267"/>
      <c r="AK314" s="267"/>
      <c r="AL314" s="267"/>
    </row>
    <row r="315" spans="1:38" s="268" customFormat="1" ht="48" customHeight="1">
      <c r="A315" s="384">
        <v>7</v>
      </c>
      <c r="B315" s="385" t="s">
        <v>19</v>
      </c>
      <c r="C315" s="385" t="s">
        <v>32</v>
      </c>
      <c r="D315" s="307">
        <v>2</v>
      </c>
      <c r="E315" s="306" t="s">
        <v>19</v>
      </c>
      <c r="F315" s="306" t="s">
        <v>54</v>
      </c>
      <c r="G315" s="307">
        <v>5</v>
      </c>
      <c r="H315" s="307">
        <v>1</v>
      </c>
      <c r="I315" s="306" t="s">
        <v>22</v>
      </c>
      <c r="J315" s="306" t="s">
        <v>22</v>
      </c>
      <c r="K315" s="306" t="s">
        <v>19</v>
      </c>
      <c r="L315" s="306" t="s">
        <v>56</v>
      </c>
      <c r="M315" s="308">
        <v>9</v>
      </c>
      <c r="N315" s="318" t="s">
        <v>283</v>
      </c>
      <c r="O315" s="319">
        <v>6000000</v>
      </c>
      <c r="P315" s="311"/>
      <c r="Q315" s="311"/>
      <c r="R315" s="311"/>
      <c r="S315" s="311"/>
      <c r="T315" s="311"/>
      <c r="U315" s="311"/>
      <c r="V315" s="311">
        <f>'[3]SPJ FUNGSIONAL '!$X$308</f>
        <v>6000000</v>
      </c>
      <c r="W315" s="311"/>
      <c r="X315" s="340">
        <f t="shared" ref="X315" si="198">V315+W315</f>
        <v>6000000</v>
      </c>
      <c r="Y315" s="340">
        <f t="shared" ref="Y315" si="199">R315+U315+X315</f>
        <v>6000000</v>
      </c>
      <c r="Z315" s="341">
        <f t="shared" si="184"/>
        <v>0</v>
      </c>
      <c r="AA315" s="393"/>
      <c r="AB315" s="267"/>
      <c r="AC315" s="267"/>
      <c r="AD315" s="267"/>
      <c r="AE315" s="267"/>
      <c r="AF315" s="267"/>
      <c r="AG315" s="267"/>
      <c r="AH315" s="267"/>
      <c r="AI315" s="267"/>
      <c r="AJ315" s="267"/>
      <c r="AK315" s="267"/>
      <c r="AL315" s="267"/>
    </row>
    <row r="316" spans="1:38" s="268" customFormat="1" ht="36" customHeight="1">
      <c r="A316" s="384">
        <v>7</v>
      </c>
      <c r="B316" s="385" t="s">
        <v>19</v>
      </c>
      <c r="C316" s="385" t="s">
        <v>32</v>
      </c>
      <c r="D316" s="307">
        <v>2</v>
      </c>
      <c r="E316" s="306" t="s">
        <v>19</v>
      </c>
      <c r="F316" s="306" t="s">
        <v>54</v>
      </c>
      <c r="G316" s="307">
        <v>5</v>
      </c>
      <c r="H316" s="307">
        <v>1</v>
      </c>
      <c r="I316" s="306" t="s">
        <v>22</v>
      </c>
      <c r="J316" s="306" t="s">
        <v>22</v>
      </c>
      <c r="K316" s="306" t="s">
        <v>19</v>
      </c>
      <c r="L316" s="306" t="s">
        <v>52</v>
      </c>
      <c r="M316" s="308">
        <v>7</v>
      </c>
      <c r="N316" s="318" t="s">
        <v>268</v>
      </c>
      <c r="O316" s="319">
        <v>22500000</v>
      </c>
      <c r="P316" s="311"/>
      <c r="Q316" s="311"/>
      <c r="R316" s="311"/>
      <c r="S316" s="311"/>
      <c r="T316" s="311"/>
      <c r="U316" s="311"/>
      <c r="V316" s="311">
        <f>'[9]SPJ FUNGSIONAL '!$X$309</f>
        <v>19500000</v>
      </c>
      <c r="W316" s="311"/>
      <c r="X316" s="340">
        <f t="shared" si="191"/>
        <v>19500000</v>
      </c>
      <c r="Y316" s="340">
        <f t="shared" si="192"/>
        <v>19500000</v>
      </c>
      <c r="Z316" s="341">
        <f t="shared" si="184"/>
        <v>3000000</v>
      </c>
      <c r="AA316" s="393"/>
      <c r="AB316" s="267"/>
      <c r="AC316" s="267"/>
      <c r="AD316" s="267"/>
      <c r="AE316" s="267"/>
      <c r="AF316" s="267"/>
      <c r="AG316" s="267"/>
      <c r="AH316" s="267"/>
      <c r="AI316" s="267"/>
      <c r="AJ316" s="267"/>
      <c r="AK316" s="267"/>
      <c r="AL316" s="267"/>
    </row>
    <row r="317" spans="1:38" s="268" customFormat="1" ht="36" customHeight="1">
      <c r="A317" s="379">
        <v>7</v>
      </c>
      <c r="B317" s="380" t="s">
        <v>19</v>
      </c>
      <c r="C317" s="380" t="s">
        <v>32</v>
      </c>
      <c r="D317" s="289">
        <v>2</v>
      </c>
      <c r="E317" s="302" t="s">
        <v>19</v>
      </c>
      <c r="F317" s="302" t="s">
        <v>54</v>
      </c>
      <c r="G317" s="289">
        <v>5</v>
      </c>
      <c r="H317" s="289">
        <v>1</v>
      </c>
      <c r="I317" s="302" t="s">
        <v>22</v>
      </c>
      <c r="J317" s="302" t="s">
        <v>54</v>
      </c>
      <c r="K317" s="302"/>
      <c r="L317" s="302"/>
      <c r="M317" s="290"/>
      <c r="N317" s="316" t="s">
        <v>68</v>
      </c>
      <c r="O317" s="392">
        <f>O318</f>
        <v>40500000</v>
      </c>
      <c r="P317" s="392">
        <f t="shared" ref="P317:W318" si="200">P318</f>
        <v>0</v>
      </c>
      <c r="Q317" s="392">
        <f t="shared" si="200"/>
        <v>0</v>
      </c>
      <c r="R317" s="392">
        <f t="shared" si="200"/>
        <v>0</v>
      </c>
      <c r="S317" s="392">
        <f t="shared" si="200"/>
        <v>0</v>
      </c>
      <c r="T317" s="392">
        <f t="shared" si="200"/>
        <v>0</v>
      </c>
      <c r="U317" s="392">
        <f t="shared" si="200"/>
        <v>0</v>
      </c>
      <c r="V317" s="392">
        <f t="shared" si="200"/>
        <v>22800000</v>
      </c>
      <c r="W317" s="392">
        <f t="shared" si="200"/>
        <v>15600000</v>
      </c>
      <c r="X317" s="409">
        <f t="shared" ref="X317:X319" si="201">V317+W317</f>
        <v>38400000</v>
      </c>
      <c r="Y317" s="409">
        <f t="shared" ref="Y317:Y319" si="202">R317+U317+X317</f>
        <v>38400000</v>
      </c>
      <c r="Z317" s="421">
        <f t="shared" si="184"/>
        <v>2100000</v>
      </c>
      <c r="AA317" s="393"/>
      <c r="AB317" s="267"/>
      <c r="AC317" s="267"/>
      <c r="AD317" s="267"/>
      <c r="AE317" s="267"/>
      <c r="AF317" s="267"/>
      <c r="AG317" s="267"/>
      <c r="AH317" s="267"/>
      <c r="AI317" s="267"/>
      <c r="AJ317" s="267"/>
      <c r="AK317" s="267"/>
      <c r="AL317" s="267"/>
    </row>
    <row r="318" spans="1:38" s="268" customFormat="1" ht="36" customHeight="1">
      <c r="A318" s="379">
        <v>7</v>
      </c>
      <c r="B318" s="380" t="s">
        <v>19</v>
      </c>
      <c r="C318" s="380" t="s">
        <v>32</v>
      </c>
      <c r="D318" s="289">
        <v>2</v>
      </c>
      <c r="E318" s="302" t="s">
        <v>19</v>
      </c>
      <c r="F318" s="302" t="s">
        <v>54</v>
      </c>
      <c r="G318" s="289">
        <v>5</v>
      </c>
      <c r="H318" s="289">
        <v>1</v>
      </c>
      <c r="I318" s="302" t="s">
        <v>22</v>
      </c>
      <c r="J318" s="302" t="s">
        <v>54</v>
      </c>
      <c r="K318" s="302" t="s">
        <v>19</v>
      </c>
      <c r="L318" s="302"/>
      <c r="M318" s="290"/>
      <c r="N318" s="410" t="s">
        <v>69</v>
      </c>
      <c r="O318" s="392">
        <f>O319</f>
        <v>40500000</v>
      </c>
      <c r="P318" s="392">
        <f t="shared" si="200"/>
        <v>0</v>
      </c>
      <c r="Q318" s="392">
        <f t="shared" si="200"/>
        <v>0</v>
      </c>
      <c r="R318" s="392">
        <f t="shared" si="200"/>
        <v>0</v>
      </c>
      <c r="S318" s="392">
        <f t="shared" si="200"/>
        <v>0</v>
      </c>
      <c r="T318" s="392">
        <f t="shared" si="200"/>
        <v>0</v>
      </c>
      <c r="U318" s="392">
        <f t="shared" si="200"/>
        <v>0</v>
      </c>
      <c r="V318" s="392">
        <f t="shared" si="200"/>
        <v>22800000</v>
      </c>
      <c r="W318" s="392">
        <f t="shared" si="200"/>
        <v>15600000</v>
      </c>
      <c r="X318" s="409">
        <f t="shared" si="201"/>
        <v>38400000</v>
      </c>
      <c r="Y318" s="409">
        <f t="shared" si="202"/>
        <v>38400000</v>
      </c>
      <c r="Z318" s="421">
        <f t="shared" si="184"/>
        <v>2100000</v>
      </c>
      <c r="AA318" s="393"/>
      <c r="AB318" s="267"/>
      <c r="AC318" s="267"/>
      <c r="AD318" s="267"/>
      <c r="AE318" s="267"/>
      <c r="AF318" s="267"/>
      <c r="AG318" s="267"/>
      <c r="AH318" s="267"/>
      <c r="AI318" s="267"/>
      <c r="AJ318" s="267"/>
      <c r="AK318" s="267"/>
      <c r="AL318" s="267"/>
    </row>
    <row r="319" spans="1:38" s="268" customFormat="1" ht="34.5" customHeight="1">
      <c r="A319" s="476">
        <v>7</v>
      </c>
      <c r="B319" s="477" t="s">
        <v>19</v>
      </c>
      <c r="C319" s="477" t="s">
        <v>32</v>
      </c>
      <c r="D319" s="398">
        <v>2</v>
      </c>
      <c r="E319" s="400" t="s">
        <v>19</v>
      </c>
      <c r="F319" s="400" t="s">
        <v>54</v>
      </c>
      <c r="G319" s="398">
        <v>5</v>
      </c>
      <c r="H319" s="398">
        <v>1</v>
      </c>
      <c r="I319" s="400" t="s">
        <v>22</v>
      </c>
      <c r="J319" s="400" t="s">
        <v>54</v>
      </c>
      <c r="K319" s="400" t="s">
        <v>19</v>
      </c>
      <c r="L319" s="400" t="s">
        <v>27</v>
      </c>
      <c r="M319" s="399">
        <v>3</v>
      </c>
      <c r="N319" s="483" t="s">
        <v>144</v>
      </c>
      <c r="O319" s="479">
        <v>40500000</v>
      </c>
      <c r="P319" s="424"/>
      <c r="Q319" s="424"/>
      <c r="R319" s="424"/>
      <c r="S319" s="424"/>
      <c r="T319" s="424"/>
      <c r="U319" s="424"/>
      <c r="V319" s="424">
        <f>'[9]SPJ FUNGSIONAL '!$X$312</f>
        <v>22800000</v>
      </c>
      <c r="W319" s="424">
        <v>15600000</v>
      </c>
      <c r="X319" s="340">
        <f t="shared" si="201"/>
        <v>38400000</v>
      </c>
      <c r="Y319" s="340">
        <f t="shared" si="202"/>
        <v>38400000</v>
      </c>
      <c r="Z319" s="341">
        <f t="shared" si="184"/>
        <v>2100000</v>
      </c>
      <c r="AA319" s="393"/>
      <c r="AB319" s="267"/>
      <c r="AC319" s="267"/>
      <c r="AD319" s="267"/>
      <c r="AE319" s="267"/>
      <c r="AF319" s="267"/>
      <c r="AG319" s="267"/>
      <c r="AH319" s="267"/>
      <c r="AI319" s="267"/>
      <c r="AJ319" s="267"/>
      <c r="AK319" s="267"/>
      <c r="AL319" s="267"/>
    </row>
    <row r="320" spans="1:38" s="268" customFormat="1" ht="54.75" customHeight="1">
      <c r="A320" s="379">
        <v>7</v>
      </c>
      <c r="B320" s="380" t="s">
        <v>19</v>
      </c>
      <c r="C320" s="380" t="s">
        <v>32</v>
      </c>
      <c r="D320" s="289">
        <v>2</v>
      </c>
      <c r="E320" s="302" t="s">
        <v>19</v>
      </c>
      <c r="F320" s="302" t="s">
        <v>54</v>
      </c>
      <c r="G320" s="289">
        <v>5</v>
      </c>
      <c r="H320" s="289">
        <v>1</v>
      </c>
      <c r="I320" s="302" t="s">
        <v>22</v>
      </c>
      <c r="J320" s="302" t="s">
        <v>32</v>
      </c>
      <c r="K320" s="302"/>
      <c r="L320" s="302"/>
      <c r="M320" s="290"/>
      <c r="N320" s="316" t="s">
        <v>118</v>
      </c>
      <c r="O320" s="392">
        <f>O321</f>
        <v>49200000</v>
      </c>
      <c r="P320" s="392">
        <f t="shared" ref="P320:W321" si="203">P321</f>
        <v>0</v>
      </c>
      <c r="Q320" s="392">
        <f t="shared" si="203"/>
        <v>0</v>
      </c>
      <c r="R320" s="392">
        <f t="shared" si="203"/>
        <v>0</v>
      </c>
      <c r="S320" s="392">
        <f t="shared" si="203"/>
        <v>0</v>
      </c>
      <c r="T320" s="392">
        <f t="shared" si="203"/>
        <v>0</v>
      </c>
      <c r="U320" s="392">
        <f t="shared" si="203"/>
        <v>0</v>
      </c>
      <c r="V320" s="392">
        <f t="shared" si="203"/>
        <v>49200000</v>
      </c>
      <c r="W320" s="392">
        <f t="shared" si="203"/>
        <v>0</v>
      </c>
      <c r="X320" s="409">
        <f t="shared" ref="X320:X322" si="204">V320+W320</f>
        <v>49200000</v>
      </c>
      <c r="Y320" s="409">
        <f t="shared" ref="Y320:Y322" si="205">R320+U320+X320</f>
        <v>49200000</v>
      </c>
      <c r="Z320" s="421">
        <f t="shared" si="184"/>
        <v>0</v>
      </c>
      <c r="AA320" s="393"/>
      <c r="AB320" s="267"/>
      <c r="AC320" s="267"/>
      <c r="AD320" s="267"/>
      <c r="AE320" s="267"/>
      <c r="AF320" s="267"/>
      <c r="AG320" s="267"/>
      <c r="AH320" s="267"/>
      <c r="AI320" s="267"/>
      <c r="AJ320" s="267"/>
      <c r="AK320" s="267"/>
      <c r="AL320" s="267"/>
    </row>
    <row r="321" spans="1:38" s="268" customFormat="1" ht="45.75" customHeight="1">
      <c r="A321" s="379">
        <v>7</v>
      </c>
      <c r="B321" s="380" t="s">
        <v>19</v>
      </c>
      <c r="C321" s="380" t="s">
        <v>32</v>
      </c>
      <c r="D321" s="289">
        <v>2</v>
      </c>
      <c r="E321" s="302" t="s">
        <v>19</v>
      </c>
      <c r="F321" s="302" t="s">
        <v>54</v>
      </c>
      <c r="G321" s="289">
        <v>5</v>
      </c>
      <c r="H321" s="289">
        <v>1</v>
      </c>
      <c r="I321" s="302" t="s">
        <v>22</v>
      </c>
      <c r="J321" s="302" t="s">
        <v>32</v>
      </c>
      <c r="K321" s="302" t="s">
        <v>19</v>
      </c>
      <c r="L321" s="302"/>
      <c r="M321" s="290"/>
      <c r="N321" s="316" t="s">
        <v>119</v>
      </c>
      <c r="O321" s="392">
        <f>O322</f>
        <v>49200000</v>
      </c>
      <c r="P321" s="392">
        <f t="shared" si="203"/>
        <v>0</v>
      </c>
      <c r="Q321" s="392">
        <f t="shared" si="203"/>
        <v>0</v>
      </c>
      <c r="R321" s="392">
        <f t="shared" si="203"/>
        <v>0</v>
      </c>
      <c r="S321" s="392">
        <f t="shared" si="203"/>
        <v>0</v>
      </c>
      <c r="T321" s="392">
        <f t="shared" si="203"/>
        <v>0</v>
      </c>
      <c r="U321" s="392">
        <f t="shared" si="203"/>
        <v>0</v>
      </c>
      <c r="V321" s="392">
        <f t="shared" si="203"/>
        <v>49200000</v>
      </c>
      <c r="W321" s="392">
        <f t="shared" si="203"/>
        <v>0</v>
      </c>
      <c r="X321" s="409">
        <f t="shared" si="204"/>
        <v>49200000</v>
      </c>
      <c r="Y321" s="409">
        <f t="shared" si="205"/>
        <v>49200000</v>
      </c>
      <c r="Z321" s="421">
        <f t="shared" si="184"/>
        <v>0</v>
      </c>
      <c r="AA321" s="393"/>
      <c r="AB321" s="267"/>
      <c r="AC321" s="267"/>
      <c r="AD321" s="267"/>
      <c r="AE321" s="267"/>
      <c r="AF321" s="267"/>
      <c r="AG321" s="267"/>
      <c r="AH321" s="267"/>
      <c r="AI321" s="267"/>
      <c r="AJ321" s="267"/>
      <c r="AK321" s="267"/>
      <c r="AL321" s="267"/>
    </row>
    <row r="322" spans="1:38" s="268" customFormat="1" ht="34.5" customHeight="1">
      <c r="A322" s="384">
        <v>7</v>
      </c>
      <c r="B322" s="385" t="s">
        <v>19</v>
      </c>
      <c r="C322" s="385" t="s">
        <v>32</v>
      </c>
      <c r="D322" s="307">
        <v>2</v>
      </c>
      <c r="E322" s="306" t="s">
        <v>19</v>
      </c>
      <c r="F322" s="306" t="s">
        <v>54</v>
      </c>
      <c r="G322" s="307">
        <v>5</v>
      </c>
      <c r="H322" s="307">
        <v>1</v>
      </c>
      <c r="I322" s="306" t="s">
        <v>22</v>
      </c>
      <c r="J322" s="306" t="s">
        <v>32</v>
      </c>
      <c r="K322" s="306" t="s">
        <v>19</v>
      </c>
      <c r="L322" s="306" t="s">
        <v>27</v>
      </c>
      <c r="M322" s="308">
        <v>1</v>
      </c>
      <c r="N322" s="407" t="s">
        <v>272</v>
      </c>
      <c r="O322" s="319">
        <v>49200000</v>
      </c>
      <c r="P322" s="311"/>
      <c r="Q322" s="311"/>
      <c r="R322" s="311"/>
      <c r="S322" s="311"/>
      <c r="T322" s="311"/>
      <c r="U322" s="311"/>
      <c r="V322" s="311">
        <f>'[9]SPJ FUNGSIONAL '!$X$315</f>
        <v>49200000</v>
      </c>
      <c r="W322" s="311"/>
      <c r="X322" s="340">
        <f t="shared" si="204"/>
        <v>49200000</v>
      </c>
      <c r="Y322" s="340">
        <f t="shared" si="205"/>
        <v>49200000</v>
      </c>
      <c r="Z322" s="341">
        <f t="shared" si="184"/>
        <v>0</v>
      </c>
      <c r="AA322" s="393"/>
      <c r="AB322" s="267"/>
      <c r="AC322" s="267"/>
      <c r="AD322" s="267"/>
      <c r="AE322" s="267"/>
      <c r="AF322" s="267"/>
      <c r="AG322" s="267"/>
      <c r="AH322" s="267"/>
      <c r="AI322" s="267"/>
      <c r="AJ322" s="267"/>
      <c r="AK322" s="267"/>
      <c r="AL322" s="267"/>
    </row>
    <row r="323" spans="1:38" s="268" customFormat="1" ht="21" customHeight="1">
      <c r="A323" s="388"/>
      <c r="B323" s="389"/>
      <c r="C323" s="389"/>
      <c r="D323" s="480"/>
      <c r="E323" s="480"/>
      <c r="F323" s="480"/>
      <c r="G323" s="480"/>
      <c r="H323" s="480"/>
      <c r="I323" s="480"/>
      <c r="J323" s="480"/>
      <c r="K323" s="480"/>
      <c r="L323" s="481"/>
      <c r="M323" s="478"/>
      <c r="N323" s="407"/>
      <c r="O323" s="423"/>
      <c r="P323" s="424"/>
      <c r="Q323" s="424"/>
      <c r="R323" s="424"/>
      <c r="S323" s="424"/>
      <c r="T323" s="424"/>
      <c r="U323" s="424"/>
      <c r="V323" s="424"/>
      <c r="W323" s="424"/>
      <c r="X323" s="424"/>
      <c r="Y323" s="424"/>
      <c r="Z323" s="425"/>
      <c r="AA323" s="393"/>
      <c r="AB323" s="267"/>
      <c r="AC323" s="267"/>
      <c r="AD323" s="267"/>
      <c r="AE323" s="267"/>
      <c r="AF323" s="267"/>
      <c r="AG323" s="267"/>
      <c r="AH323" s="267"/>
      <c r="AI323" s="267"/>
      <c r="AJ323" s="267"/>
      <c r="AK323" s="267"/>
      <c r="AL323" s="267"/>
    </row>
    <row r="324" spans="1:38" s="268" customFormat="1" ht="48.75" customHeight="1">
      <c r="A324" s="371">
        <v>7</v>
      </c>
      <c r="B324" s="372" t="s">
        <v>19</v>
      </c>
      <c r="C324" s="372" t="s">
        <v>32</v>
      </c>
      <c r="D324" s="297">
        <v>2</v>
      </c>
      <c r="E324" s="296" t="s">
        <v>19</v>
      </c>
      <c r="F324" s="296" t="s">
        <v>38</v>
      </c>
      <c r="G324" s="419"/>
      <c r="H324" s="419"/>
      <c r="I324" s="419"/>
      <c r="J324" s="419"/>
      <c r="K324" s="419"/>
      <c r="L324" s="419"/>
      <c r="M324" s="420"/>
      <c r="N324" s="321" t="s">
        <v>151</v>
      </c>
      <c r="O324" s="300">
        <f t="shared" ref="O324:Q324" si="206">O325</f>
        <v>61360000</v>
      </c>
      <c r="P324" s="377">
        <f t="shared" si="206"/>
        <v>0</v>
      </c>
      <c r="Q324" s="377">
        <f t="shared" si="206"/>
        <v>0</v>
      </c>
      <c r="R324" s="301">
        <f>P324+Q324</f>
        <v>0</v>
      </c>
      <c r="S324" s="377">
        <f>S325</f>
        <v>0</v>
      </c>
      <c r="T324" s="377">
        <f>T325</f>
        <v>0</v>
      </c>
      <c r="U324" s="301">
        <f t="shared" ref="U324:U336" si="207">S324+T324</f>
        <v>0</v>
      </c>
      <c r="V324" s="377">
        <f>V325</f>
        <v>21983175</v>
      </c>
      <c r="W324" s="377">
        <f>W325</f>
        <v>20492000</v>
      </c>
      <c r="X324" s="301">
        <f t="shared" ref="X324:X336" si="208">V324+W324</f>
        <v>42475175</v>
      </c>
      <c r="Y324" s="301">
        <f>R324+U324+X324</f>
        <v>42475175</v>
      </c>
      <c r="Z324" s="300">
        <f>O324-Y324</f>
        <v>18884825</v>
      </c>
      <c r="AA324" s="393"/>
      <c r="AB324" s="267"/>
      <c r="AC324" s="267"/>
      <c r="AD324" s="267"/>
      <c r="AE324" s="267"/>
      <c r="AF324" s="267"/>
      <c r="AG324" s="267"/>
      <c r="AH324" s="267"/>
      <c r="AI324" s="267"/>
      <c r="AJ324" s="267"/>
      <c r="AK324" s="267"/>
      <c r="AL324" s="267"/>
    </row>
    <row r="325" spans="1:38" s="268" customFormat="1" ht="30" customHeight="1">
      <c r="A325" s="379">
        <v>7</v>
      </c>
      <c r="B325" s="380" t="s">
        <v>19</v>
      </c>
      <c r="C325" s="380" t="s">
        <v>32</v>
      </c>
      <c r="D325" s="289">
        <v>2</v>
      </c>
      <c r="E325" s="302" t="s">
        <v>19</v>
      </c>
      <c r="F325" s="302" t="s">
        <v>38</v>
      </c>
      <c r="G325" s="289">
        <v>5</v>
      </c>
      <c r="H325" s="289">
        <v>1</v>
      </c>
      <c r="I325" s="302" t="s">
        <v>22</v>
      </c>
      <c r="J325" s="289"/>
      <c r="K325" s="289"/>
      <c r="L325" s="307"/>
      <c r="M325" s="308"/>
      <c r="N325" s="410" t="s">
        <v>123</v>
      </c>
      <c r="O325" s="408">
        <f>O326+O334+O339+O341+O344</f>
        <v>61360000</v>
      </c>
      <c r="P325" s="408">
        <f t="shared" ref="P325:U325" si="209">P326+P334+P341+P344</f>
        <v>0</v>
      </c>
      <c r="Q325" s="408">
        <f t="shared" si="209"/>
        <v>0</v>
      </c>
      <c r="R325" s="408">
        <f t="shared" si="209"/>
        <v>0</v>
      </c>
      <c r="S325" s="408">
        <f t="shared" si="209"/>
        <v>0</v>
      </c>
      <c r="T325" s="408">
        <f t="shared" si="209"/>
        <v>0</v>
      </c>
      <c r="U325" s="408">
        <f t="shared" si="209"/>
        <v>0</v>
      </c>
      <c r="V325" s="408">
        <f t="shared" ref="V325:W325" si="210">V326+V334+V339+V341+V344</f>
        <v>21983175</v>
      </c>
      <c r="W325" s="408">
        <f t="shared" si="210"/>
        <v>20492000</v>
      </c>
      <c r="X325" s="409">
        <f t="shared" si="208"/>
        <v>42475175</v>
      </c>
      <c r="Y325" s="409">
        <f>R325+U325+X325</f>
        <v>42475175</v>
      </c>
      <c r="Z325" s="421">
        <f>O325-Y325</f>
        <v>18884825</v>
      </c>
      <c r="AA325" s="393"/>
      <c r="AB325" s="267"/>
      <c r="AC325" s="267"/>
      <c r="AD325" s="267"/>
      <c r="AE325" s="267"/>
      <c r="AF325" s="267"/>
      <c r="AG325" s="267"/>
      <c r="AH325" s="267"/>
      <c r="AI325" s="267"/>
      <c r="AJ325" s="267"/>
      <c r="AK325" s="267"/>
      <c r="AL325" s="267"/>
    </row>
    <row r="326" spans="1:38" s="268" customFormat="1" ht="27" customHeight="1">
      <c r="A326" s="379">
        <v>7</v>
      </c>
      <c r="B326" s="380" t="s">
        <v>19</v>
      </c>
      <c r="C326" s="380" t="s">
        <v>32</v>
      </c>
      <c r="D326" s="289">
        <v>2</v>
      </c>
      <c r="E326" s="302" t="s">
        <v>19</v>
      </c>
      <c r="F326" s="302" t="s">
        <v>38</v>
      </c>
      <c r="G326" s="289">
        <v>5</v>
      </c>
      <c r="H326" s="289">
        <v>1</v>
      </c>
      <c r="I326" s="302" t="s">
        <v>22</v>
      </c>
      <c r="J326" s="302" t="s">
        <v>19</v>
      </c>
      <c r="K326" s="289"/>
      <c r="L326" s="307"/>
      <c r="M326" s="308"/>
      <c r="N326" s="410" t="s">
        <v>65</v>
      </c>
      <c r="O326" s="408">
        <f>O327</f>
        <v>20415000</v>
      </c>
      <c r="P326" s="408">
        <f>P327+P336</f>
        <v>0</v>
      </c>
      <c r="Q326" s="408">
        <f>Q327+Q336</f>
        <v>0</v>
      </c>
      <c r="R326" s="409">
        <f t="shared" ref="R326:R336" si="211">P326+Q326</f>
        <v>0</v>
      </c>
      <c r="S326" s="408">
        <f>S327+S336</f>
        <v>0</v>
      </c>
      <c r="T326" s="408">
        <f>T327+T336</f>
        <v>0</v>
      </c>
      <c r="U326" s="409">
        <f t="shared" si="207"/>
        <v>0</v>
      </c>
      <c r="V326" s="408">
        <f>V327</f>
        <v>7793175</v>
      </c>
      <c r="W326" s="408">
        <f>W327</f>
        <v>6562000</v>
      </c>
      <c r="X326" s="409">
        <f t="shared" si="208"/>
        <v>14355175</v>
      </c>
      <c r="Y326" s="409">
        <f t="shared" ref="Y326:Y336" si="212">R326+U326+X326</f>
        <v>14355175</v>
      </c>
      <c r="Z326" s="421">
        <f t="shared" ref="Z326:Z346" si="213">O326-Y326</f>
        <v>6059825</v>
      </c>
      <c r="AA326" s="393"/>
      <c r="AB326" s="267"/>
      <c r="AC326" s="267"/>
      <c r="AD326" s="267"/>
      <c r="AE326" s="267"/>
      <c r="AF326" s="267"/>
      <c r="AG326" s="267"/>
      <c r="AH326" s="267"/>
      <c r="AI326" s="267"/>
      <c r="AJ326" s="267"/>
      <c r="AK326" s="267"/>
      <c r="AL326" s="267"/>
    </row>
    <row r="327" spans="1:38" s="268" customFormat="1" ht="30.75" customHeight="1">
      <c r="A327" s="379">
        <v>7</v>
      </c>
      <c r="B327" s="380" t="s">
        <v>19</v>
      </c>
      <c r="C327" s="380" t="s">
        <v>32</v>
      </c>
      <c r="D327" s="289">
        <v>2</v>
      </c>
      <c r="E327" s="302" t="s">
        <v>19</v>
      </c>
      <c r="F327" s="302" t="s">
        <v>38</v>
      </c>
      <c r="G327" s="289">
        <v>5</v>
      </c>
      <c r="H327" s="289">
        <v>1</v>
      </c>
      <c r="I327" s="302" t="s">
        <v>22</v>
      </c>
      <c r="J327" s="302" t="s">
        <v>19</v>
      </c>
      <c r="K327" s="302" t="s">
        <v>19</v>
      </c>
      <c r="L327" s="307"/>
      <c r="M327" s="308"/>
      <c r="N327" s="410" t="s">
        <v>51</v>
      </c>
      <c r="O327" s="408">
        <f>SUM(O328:O333)</f>
        <v>20415000</v>
      </c>
      <c r="P327" s="408">
        <f>SUM(P330:P333)</f>
        <v>0</v>
      </c>
      <c r="Q327" s="408">
        <f>SUM(Q330:Q333)</f>
        <v>0</v>
      </c>
      <c r="R327" s="409">
        <f t="shared" si="211"/>
        <v>0</v>
      </c>
      <c r="S327" s="408">
        <f>SUM(S330:S333)</f>
        <v>0</v>
      </c>
      <c r="T327" s="408">
        <f>SUM(T330:T333)</f>
        <v>0</v>
      </c>
      <c r="U327" s="409">
        <f t="shared" si="207"/>
        <v>0</v>
      </c>
      <c r="V327" s="408">
        <f>SUM(V328:V333)</f>
        <v>7793175</v>
      </c>
      <c r="W327" s="408">
        <f>SUM(W328:W333)</f>
        <v>6562000</v>
      </c>
      <c r="X327" s="409">
        <f t="shared" si="208"/>
        <v>14355175</v>
      </c>
      <c r="Y327" s="409">
        <f t="shared" si="212"/>
        <v>14355175</v>
      </c>
      <c r="Z327" s="421">
        <f t="shared" si="213"/>
        <v>6059825</v>
      </c>
      <c r="AA327" s="393"/>
      <c r="AB327" s="267"/>
      <c r="AC327" s="267"/>
      <c r="AD327" s="267"/>
      <c r="AE327" s="267"/>
      <c r="AF327" s="267"/>
      <c r="AG327" s="267"/>
      <c r="AH327" s="267"/>
      <c r="AI327" s="267"/>
      <c r="AJ327" s="267"/>
      <c r="AK327" s="267"/>
      <c r="AL327" s="267"/>
    </row>
    <row r="328" spans="1:38" s="268" customFormat="1" ht="42" customHeight="1">
      <c r="A328" s="384">
        <v>7</v>
      </c>
      <c r="B328" s="385" t="s">
        <v>19</v>
      </c>
      <c r="C328" s="394" t="s">
        <v>148</v>
      </c>
      <c r="D328" s="307">
        <v>2</v>
      </c>
      <c r="E328" s="306" t="s">
        <v>19</v>
      </c>
      <c r="F328" s="306" t="s">
        <v>38</v>
      </c>
      <c r="G328" s="307">
        <v>5</v>
      </c>
      <c r="H328" s="307">
        <v>1</v>
      </c>
      <c r="I328" s="306" t="s">
        <v>22</v>
      </c>
      <c r="J328" s="306" t="s">
        <v>19</v>
      </c>
      <c r="K328" s="306" t="s">
        <v>19</v>
      </c>
      <c r="L328" s="306" t="s">
        <v>56</v>
      </c>
      <c r="M328" s="308">
        <v>4</v>
      </c>
      <c r="N328" s="318" t="s">
        <v>273</v>
      </c>
      <c r="O328" s="401">
        <v>0</v>
      </c>
      <c r="P328" s="408"/>
      <c r="Q328" s="408"/>
      <c r="R328" s="409"/>
      <c r="S328" s="408"/>
      <c r="T328" s="408"/>
      <c r="U328" s="409"/>
      <c r="V328" s="408"/>
      <c r="W328" s="408"/>
      <c r="X328" s="409"/>
      <c r="Y328" s="409"/>
      <c r="Z328" s="341">
        <f t="shared" si="213"/>
        <v>0</v>
      </c>
      <c r="AA328" s="393"/>
      <c r="AB328" s="267"/>
      <c r="AC328" s="267"/>
      <c r="AD328" s="267"/>
      <c r="AE328" s="267"/>
      <c r="AF328" s="267"/>
      <c r="AG328" s="267"/>
      <c r="AH328" s="267"/>
      <c r="AI328" s="267"/>
      <c r="AJ328" s="267"/>
      <c r="AK328" s="267"/>
      <c r="AL328" s="267"/>
    </row>
    <row r="329" spans="1:38" s="268" customFormat="1" ht="44.25" customHeight="1">
      <c r="A329" s="384">
        <v>7</v>
      </c>
      <c r="B329" s="385" t="s">
        <v>19</v>
      </c>
      <c r="C329" s="394" t="s">
        <v>148</v>
      </c>
      <c r="D329" s="307">
        <v>2</v>
      </c>
      <c r="E329" s="306" t="s">
        <v>19</v>
      </c>
      <c r="F329" s="306" t="s">
        <v>38</v>
      </c>
      <c r="G329" s="307">
        <v>5</v>
      </c>
      <c r="H329" s="307">
        <v>1</v>
      </c>
      <c r="I329" s="306" t="s">
        <v>22</v>
      </c>
      <c r="J329" s="306" t="s">
        <v>19</v>
      </c>
      <c r="K329" s="306" t="s">
        <v>19</v>
      </c>
      <c r="L329" s="306" t="s">
        <v>56</v>
      </c>
      <c r="M329" s="308">
        <v>5</v>
      </c>
      <c r="N329" s="318" t="s">
        <v>133</v>
      </c>
      <c r="O329" s="401">
        <v>0</v>
      </c>
      <c r="P329" s="408"/>
      <c r="Q329" s="408"/>
      <c r="R329" s="409"/>
      <c r="S329" s="408"/>
      <c r="T329" s="408"/>
      <c r="U329" s="409"/>
      <c r="V329" s="408"/>
      <c r="W329" s="408"/>
      <c r="X329" s="409"/>
      <c r="Y329" s="409"/>
      <c r="Z329" s="341">
        <f t="shared" si="213"/>
        <v>0</v>
      </c>
      <c r="AA329" s="393"/>
      <c r="AB329" s="267"/>
      <c r="AC329" s="267"/>
      <c r="AD329" s="267"/>
      <c r="AE329" s="267"/>
      <c r="AF329" s="267"/>
      <c r="AG329" s="267"/>
      <c r="AH329" s="267"/>
      <c r="AI329" s="267"/>
      <c r="AJ329" s="267"/>
      <c r="AK329" s="267"/>
      <c r="AL329" s="267"/>
    </row>
    <row r="330" spans="1:38" s="268" customFormat="1" ht="36" customHeight="1">
      <c r="A330" s="384">
        <v>7</v>
      </c>
      <c r="B330" s="385" t="s">
        <v>19</v>
      </c>
      <c r="C330" s="394" t="s">
        <v>148</v>
      </c>
      <c r="D330" s="307">
        <v>2</v>
      </c>
      <c r="E330" s="306" t="s">
        <v>19</v>
      </c>
      <c r="F330" s="306" t="s">
        <v>38</v>
      </c>
      <c r="G330" s="307">
        <v>5</v>
      </c>
      <c r="H330" s="307">
        <v>1</v>
      </c>
      <c r="I330" s="306" t="s">
        <v>22</v>
      </c>
      <c r="J330" s="306" t="s">
        <v>19</v>
      </c>
      <c r="K330" s="306" t="s">
        <v>19</v>
      </c>
      <c r="L330" s="306" t="s">
        <v>56</v>
      </c>
      <c r="M330" s="308">
        <v>6</v>
      </c>
      <c r="N330" s="318" t="s">
        <v>134</v>
      </c>
      <c r="O330" s="401">
        <v>1305000</v>
      </c>
      <c r="P330" s="340"/>
      <c r="Q330" s="340"/>
      <c r="R330" s="340">
        <f t="shared" si="211"/>
        <v>0</v>
      </c>
      <c r="S330" s="340"/>
      <c r="T330" s="340"/>
      <c r="U330" s="340">
        <f t="shared" si="207"/>
        <v>0</v>
      </c>
      <c r="V330" s="340">
        <f>'[7]SPJ FUNGSIONAL '!$X$321</f>
        <v>400000</v>
      </c>
      <c r="W330" s="340">
        <v>400000</v>
      </c>
      <c r="X330" s="340">
        <f t="shared" si="208"/>
        <v>800000</v>
      </c>
      <c r="Y330" s="340">
        <f t="shared" si="212"/>
        <v>800000</v>
      </c>
      <c r="Z330" s="341">
        <f t="shared" si="213"/>
        <v>505000</v>
      </c>
      <c r="AA330" s="393"/>
      <c r="AB330" s="267"/>
      <c r="AC330" s="267"/>
      <c r="AD330" s="267"/>
      <c r="AE330" s="267"/>
      <c r="AF330" s="267"/>
      <c r="AG330" s="267"/>
      <c r="AH330" s="267"/>
      <c r="AI330" s="267"/>
      <c r="AJ330" s="267"/>
      <c r="AK330" s="267"/>
      <c r="AL330" s="267"/>
    </row>
    <row r="331" spans="1:38" s="268" customFormat="1" ht="36" customHeight="1">
      <c r="A331" s="384">
        <v>7</v>
      </c>
      <c r="B331" s="385" t="s">
        <v>19</v>
      </c>
      <c r="C331" s="394" t="s">
        <v>148</v>
      </c>
      <c r="D331" s="307">
        <v>2</v>
      </c>
      <c r="E331" s="306" t="s">
        <v>19</v>
      </c>
      <c r="F331" s="306" t="s">
        <v>38</v>
      </c>
      <c r="G331" s="307">
        <v>5</v>
      </c>
      <c r="H331" s="307">
        <v>1</v>
      </c>
      <c r="I331" s="306" t="s">
        <v>22</v>
      </c>
      <c r="J331" s="306" t="s">
        <v>19</v>
      </c>
      <c r="K331" s="306" t="s">
        <v>19</v>
      </c>
      <c r="L331" s="306" t="s">
        <v>56</v>
      </c>
      <c r="M331" s="308">
        <v>6</v>
      </c>
      <c r="N331" s="318" t="s">
        <v>274</v>
      </c>
      <c r="O331" s="401">
        <v>2400000</v>
      </c>
      <c r="P331" s="340"/>
      <c r="Q331" s="340"/>
      <c r="R331" s="340"/>
      <c r="S331" s="340"/>
      <c r="T331" s="340"/>
      <c r="U331" s="340"/>
      <c r="V331" s="340"/>
      <c r="W331" s="340">
        <v>1500000</v>
      </c>
      <c r="X331" s="340">
        <f t="shared" ref="X331:X332" si="214">V331+W331</f>
        <v>1500000</v>
      </c>
      <c r="Y331" s="340">
        <f t="shared" ref="Y331:Y332" si="215">R331+U331+X331</f>
        <v>1500000</v>
      </c>
      <c r="Z331" s="341">
        <f t="shared" ref="Z331:Z332" si="216">O331-Y331</f>
        <v>900000</v>
      </c>
      <c r="AA331" s="393"/>
      <c r="AB331" s="267"/>
      <c r="AC331" s="267"/>
      <c r="AD331" s="267"/>
      <c r="AE331" s="267"/>
      <c r="AF331" s="267"/>
      <c r="AG331" s="267"/>
      <c r="AH331" s="267"/>
      <c r="AI331" s="267"/>
      <c r="AJ331" s="267"/>
      <c r="AK331" s="267"/>
      <c r="AL331" s="267"/>
    </row>
    <row r="332" spans="1:38" s="268" customFormat="1" ht="36" customHeight="1">
      <c r="A332" s="384">
        <v>7</v>
      </c>
      <c r="B332" s="385" t="s">
        <v>19</v>
      </c>
      <c r="C332" s="385" t="s">
        <v>32</v>
      </c>
      <c r="D332" s="307">
        <v>2</v>
      </c>
      <c r="E332" s="306" t="s">
        <v>19</v>
      </c>
      <c r="F332" s="306" t="s">
        <v>38</v>
      </c>
      <c r="G332" s="307">
        <v>5</v>
      </c>
      <c r="H332" s="307">
        <v>1</v>
      </c>
      <c r="I332" s="306" t="s">
        <v>22</v>
      </c>
      <c r="J332" s="306" t="s">
        <v>19</v>
      </c>
      <c r="K332" s="306" t="s">
        <v>19</v>
      </c>
      <c r="L332" s="306" t="s">
        <v>66</v>
      </c>
      <c r="M332" s="417">
        <v>2</v>
      </c>
      <c r="N332" s="318" t="s">
        <v>67</v>
      </c>
      <c r="O332" s="401">
        <v>1600000</v>
      </c>
      <c r="P332" s="340"/>
      <c r="Q332" s="340"/>
      <c r="R332" s="340"/>
      <c r="S332" s="340"/>
      <c r="T332" s="340"/>
      <c r="U332" s="340"/>
      <c r="V332" s="340"/>
      <c r="W332" s="340"/>
      <c r="X332" s="340">
        <f t="shared" si="214"/>
        <v>0</v>
      </c>
      <c r="Y332" s="340">
        <f t="shared" si="215"/>
        <v>0</v>
      </c>
      <c r="Z332" s="341">
        <f t="shared" si="216"/>
        <v>1600000</v>
      </c>
      <c r="AA332" s="393"/>
      <c r="AB332" s="267"/>
      <c r="AC332" s="267"/>
      <c r="AD332" s="267"/>
      <c r="AE332" s="267"/>
      <c r="AF332" s="267"/>
      <c r="AG332" s="267"/>
      <c r="AH332" s="267"/>
      <c r="AI332" s="267"/>
      <c r="AJ332" s="267"/>
      <c r="AK332" s="267"/>
      <c r="AL332" s="267"/>
    </row>
    <row r="333" spans="1:38" s="268" customFormat="1" ht="36" customHeight="1">
      <c r="A333" s="384">
        <v>7</v>
      </c>
      <c r="B333" s="385" t="s">
        <v>19</v>
      </c>
      <c r="C333" s="385" t="s">
        <v>32</v>
      </c>
      <c r="D333" s="307">
        <v>2</v>
      </c>
      <c r="E333" s="306" t="s">
        <v>19</v>
      </c>
      <c r="F333" s="306" t="s">
        <v>38</v>
      </c>
      <c r="G333" s="307">
        <v>5</v>
      </c>
      <c r="H333" s="307">
        <v>1</v>
      </c>
      <c r="I333" s="306" t="s">
        <v>22</v>
      </c>
      <c r="J333" s="306" t="s">
        <v>19</v>
      </c>
      <c r="K333" s="306" t="s">
        <v>19</v>
      </c>
      <c r="L333" s="306" t="s">
        <v>66</v>
      </c>
      <c r="M333" s="417">
        <v>8</v>
      </c>
      <c r="N333" s="318" t="s">
        <v>127</v>
      </c>
      <c r="O333" s="401">
        <v>15110000</v>
      </c>
      <c r="P333" s="340"/>
      <c r="Q333" s="340"/>
      <c r="R333" s="340">
        <f t="shared" si="211"/>
        <v>0</v>
      </c>
      <c r="S333" s="340"/>
      <c r="T333" s="340"/>
      <c r="U333" s="340">
        <f t="shared" si="207"/>
        <v>0</v>
      </c>
      <c r="V333" s="340">
        <f>'[1]SPJ FUNGSIONAL '!$X$333</f>
        <v>7393175</v>
      </c>
      <c r="W333" s="340">
        <v>4662000</v>
      </c>
      <c r="X333" s="340">
        <f t="shared" si="208"/>
        <v>12055175</v>
      </c>
      <c r="Y333" s="340">
        <f t="shared" si="212"/>
        <v>12055175</v>
      </c>
      <c r="Z333" s="341">
        <f t="shared" si="213"/>
        <v>3054825</v>
      </c>
      <c r="AA333" s="393"/>
      <c r="AB333" s="267"/>
      <c r="AC333" s="267"/>
      <c r="AD333" s="267"/>
      <c r="AE333" s="267"/>
      <c r="AF333" s="267"/>
      <c r="AG333" s="267"/>
      <c r="AH333" s="267"/>
      <c r="AI333" s="267"/>
      <c r="AJ333" s="267"/>
      <c r="AK333" s="267"/>
      <c r="AL333" s="267"/>
    </row>
    <row r="334" spans="1:38" s="268" customFormat="1" ht="31.5" customHeight="1">
      <c r="A334" s="379">
        <v>7</v>
      </c>
      <c r="B334" s="380" t="s">
        <v>19</v>
      </c>
      <c r="C334" s="380" t="s">
        <v>32</v>
      </c>
      <c r="D334" s="289">
        <v>2</v>
      </c>
      <c r="E334" s="302" t="s">
        <v>19</v>
      </c>
      <c r="F334" s="302" t="s">
        <v>38</v>
      </c>
      <c r="G334" s="289">
        <v>5</v>
      </c>
      <c r="H334" s="289">
        <v>1</v>
      </c>
      <c r="I334" s="302" t="s">
        <v>22</v>
      </c>
      <c r="J334" s="302" t="s">
        <v>22</v>
      </c>
      <c r="K334" s="289"/>
      <c r="L334" s="307"/>
      <c r="M334" s="308"/>
      <c r="N334" s="410" t="s">
        <v>75</v>
      </c>
      <c r="O334" s="408">
        <f>O335</f>
        <v>15770000</v>
      </c>
      <c r="P334" s="408">
        <f t="shared" ref="P334:Q335" si="217">P335</f>
        <v>0</v>
      </c>
      <c r="Q334" s="408">
        <f t="shared" si="217"/>
        <v>0</v>
      </c>
      <c r="R334" s="409">
        <f t="shared" si="211"/>
        <v>0</v>
      </c>
      <c r="S334" s="408">
        <f>S335</f>
        <v>0</v>
      </c>
      <c r="T334" s="408">
        <f>T335</f>
        <v>0</v>
      </c>
      <c r="U334" s="409">
        <f t="shared" si="207"/>
        <v>0</v>
      </c>
      <c r="V334" s="408">
        <f>V335</f>
        <v>10040000</v>
      </c>
      <c r="W334" s="408">
        <f>W335</f>
        <v>3130000</v>
      </c>
      <c r="X334" s="409">
        <f t="shared" si="208"/>
        <v>13170000</v>
      </c>
      <c r="Y334" s="409">
        <f t="shared" si="212"/>
        <v>13170000</v>
      </c>
      <c r="Z334" s="421">
        <f t="shared" si="213"/>
        <v>2600000</v>
      </c>
      <c r="AA334" s="393"/>
      <c r="AB334" s="267"/>
      <c r="AC334" s="267"/>
      <c r="AD334" s="267"/>
      <c r="AE334" s="267"/>
      <c r="AF334" s="267"/>
      <c r="AG334" s="267"/>
      <c r="AH334" s="267"/>
      <c r="AI334" s="267"/>
      <c r="AJ334" s="267"/>
      <c r="AK334" s="267"/>
      <c r="AL334" s="267"/>
    </row>
    <row r="335" spans="1:38" s="268" customFormat="1" ht="33" customHeight="1">
      <c r="A335" s="379">
        <v>7</v>
      </c>
      <c r="B335" s="380" t="s">
        <v>19</v>
      </c>
      <c r="C335" s="380" t="s">
        <v>32</v>
      </c>
      <c r="D335" s="289">
        <v>2</v>
      </c>
      <c r="E335" s="302" t="s">
        <v>19</v>
      </c>
      <c r="F335" s="302" t="s">
        <v>38</v>
      </c>
      <c r="G335" s="289">
        <v>5</v>
      </c>
      <c r="H335" s="289">
        <v>1</v>
      </c>
      <c r="I335" s="302" t="s">
        <v>22</v>
      </c>
      <c r="J335" s="302" t="s">
        <v>22</v>
      </c>
      <c r="K335" s="302" t="s">
        <v>19</v>
      </c>
      <c r="L335" s="289"/>
      <c r="M335" s="426"/>
      <c r="N335" s="410" t="s">
        <v>114</v>
      </c>
      <c r="O335" s="408">
        <f>SUM(O336:O338)</f>
        <v>15770000</v>
      </c>
      <c r="P335" s="408">
        <f t="shared" si="217"/>
        <v>0</v>
      </c>
      <c r="Q335" s="408">
        <f t="shared" si="217"/>
        <v>0</v>
      </c>
      <c r="R335" s="409">
        <f t="shared" si="211"/>
        <v>0</v>
      </c>
      <c r="S335" s="408">
        <f>S336</f>
        <v>0</v>
      </c>
      <c r="T335" s="408">
        <f>T336</f>
        <v>0</v>
      </c>
      <c r="U335" s="409">
        <f t="shared" si="207"/>
        <v>0</v>
      </c>
      <c r="V335" s="408">
        <f t="shared" ref="V335:W335" si="218">SUM(V336:V338)</f>
        <v>10040000</v>
      </c>
      <c r="W335" s="408">
        <f t="shared" si="218"/>
        <v>3130000</v>
      </c>
      <c r="X335" s="409">
        <f t="shared" si="208"/>
        <v>13170000</v>
      </c>
      <c r="Y335" s="409">
        <f t="shared" si="212"/>
        <v>13170000</v>
      </c>
      <c r="Z335" s="421">
        <f t="shared" si="213"/>
        <v>2600000</v>
      </c>
      <c r="AA335" s="393"/>
      <c r="AB335" s="267"/>
      <c r="AC335" s="267"/>
      <c r="AD335" s="267"/>
      <c r="AE335" s="267"/>
      <c r="AF335" s="267"/>
      <c r="AG335" s="267"/>
      <c r="AH335" s="267"/>
      <c r="AI335" s="267"/>
      <c r="AJ335" s="267"/>
      <c r="AK335" s="267"/>
      <c r="AL335" s="267"/>
    </row>
    <row r="336" spans="1:38" s="268" customFormat="1" ht="46.5" customHeight="1">
      <c r="A336" s="384">
        <v>7</v>
      </c>
      <c r="B336" s="385" t="s">
        <v>19</v>
      </c>
      <c r="C336" s="385" t="s">
        <v>32</v>
      </c>
      <c r="D336" s="307">
        <v>2</v>
      </c>
      <c r="E336" s="306" t="s">
        <v>19</v>
      </c>
      <c r="F336" s="306" t="s">
        <v>38</v>
      </c>
      <c r="G336" s="307">
        <v>5</v>
      </c>
      <c r="H336" s="307">
        <v>1</v>
      </c>
      <c r="I336" s="306" t="s">
        <v>22</v>
      </c>
      <c r="J336" s="306" t="s">
        <v>22</v>
      </c>
      <c r="K336" s="306" t="s">
        <v>19</v>
      </c>
      <c r="L336" s="306" t="s">
        <v>27</v>
      </c>
      <c r="M336" s="417">
        <v>3</v>
      </c>
      <c r="N336" s="407" t="s">
        <v>152</v>
      </c>
      <c r="O336" s="401">
        <v>3200000</v>
      </c>
      <c r="P336" s="340"/>
      <c r="Q336" s="340"/>
      <c r="R336" s="340">
        <f t="shared" si="211"/>
        <v>0</v>
      </c>
      <c r="S336" s="340"/>
      <c r="T336" s="340"/>
      <c r="U336" s="340">
        <f t="shared" si="207"/>
        <v>0</v>
      </c>
      <c r="V336" s="340">
        <f>'[1]SPJ FUNGSIONAL '!$X$336</f>
        <v>3200000</v>
      </c>
      <c r="W336" s="340"/>
      <c r="X336" s="340">
        <f t="shared" si="208"/>
        <v>3200000</v>
      </c>
      <c r="Y336" s="340">
        <f t="shared" si="212"/>
        <v>3200000</v>
      </c>
      <c r="Z336" s="341">
        <f t="shared" si="213"/>
        <v>0</v>
      </c>
      <c r="AA336" s="393"/>
      <c r="AB336" s="267"/>
      <c r="AC336" s="267"/>
      <c r="AD336" s="267"/>
      <c r="AE336" s="267"/>
      <c r="AF336" s="267"/>
      <c r="AG336" s="267"/>
      <c r="AH336" s="267"/>
      <c r="AI336" s="267"/>
      <c r="AJ336" s="267"/>
      <c r="AK336" s="267"/>
      <c r="AL336" s="267"/>
    </row>
    <row r="337" spans="1:38" s="268" customFormat="1" ht="46.5" customHeight="1">
      <c r="A337" s="384">
        <v>7</v>
      </c>
      <c r="B337" s="385" t="s">
        <v>19</v>
      </c>
      <c r="C337" s="385" t="s">
        <v>32</v>
      </c>
      <c r="D337" s="307">
        <v>2</v>
      </c>
      <c r="E337" s="306" t="s">
        <v>19</v>
      </c>
      <c r="F337" s="306" t="s">
        <v>38</v>
      </c>
      <c r="G337" s="307">
        <v>5</v>
      </c>
      <c r="H337" s="307">
        <v>1</v>
      </c>
      <c r="I337" s="306" t="s">
        <v>22</v>
      </c>
      <c r="J337" s="306" t="s">
        <v>22</v>
      </c>
      <c r="K337" s="306" t="s">
        <v>19</v>
      </c>
      <c r="L337" s="306" t="s">
        <v>27</v>
      </c>
      <c r="M337" s="417">
        <v>4</v>
      </c>
      <c r="N337" s="407" t="s">
        <v>275</v>
      </c>
      <c r="O337" s="401">
        <v>1320000</v>
      </c>
      <c r="P337" s="340"/>
      <c r="Q337" s="340"/>
      <c r="R337" s="340"/>
      <c r="S337" s="340"/>
      <c r="T337" s="340"/>
      <c r="U337" s="340"/>
      <c r="V337" s="340">
        <f>'[3]SPJ FUNGSIONAL '!$X$330</f>
        <v>440000</v>
      </c>
      <c r="W337" s="340">
        <v>880000</v>
      </c>
      <c r="X337" s="340">
        <f t="shared" ref="X337" si="219">V337+W337</f>
        <v>1320000</v>
      </c>
      <c r="Y337" s="340">
        <f t="shared" ref="Y337" si="220">R337+U337+X337</f>
        <v>1320000</v>
      </c>
      <c r="Z337" s="341">
        <f t="shared" si="213"/>
        <v>0</v>
      </c>
      <c r="AA337" s="393"/>
      <c r="AB337" s="267"/>
      <c r="AC337" s="267"/>
      <c r="AD337" s="267"/>
      <c r="AE337" s="267"/>
      <c r="AF337" s="267"/>
      <c r="AG337" s="267"/>
      <c r="AH337" s="267"/>
      <c r="AI337" s="267"/>
      <c r="AJ337" s="267"/>
      <c r="AK337" s="267"/>
      <c r="AL337" s="267"/>
    </row>
    <row r="338" spans="1:38" s="268" customFormat="1" ht="46.5" customHeight="1">
      <c r="A338" s="384">
        <v>7</v>
      </c>
      <c r="B338" s="385" t="s">
        <v>19</v>
      </c>
      <c r="C338" s="385" t="s">
        <v>32</v>
      </c>
      <c r="D338" s="307">
        <v>2</v>
      </c>
      <c r="E338" s="306" t="s">
        <v>19</v>
      </c>
      <c r="F338" s="306" t="s">
        <v>38</v>
      </c>
      <c r="G338" s="307">
        <v>5</v>
      </c>
      <c r="H338" s="307">
        <v>1</v>
      </c>
      <c r="I338" s="306" t="s">
        <v>22</v>
      </c>
      <c r="J338" s="306" t="s">
        <v>22</v>
      </c>
      <c r="K338" s="306" t="s">
        <v>19</v>
      </c>
      <c r="L338" s="306" t="s">
        <v>52</v>
      </c>
      <c r="M338" s="417">
        <v>7</v>
      </c>
      <c r="N338" s="407" t="s">
        <v>268</v>
      </c>
      <c r="O338" s="401">
        <v>11250000</v>
      </c>
      <c r="P338" s="340"/>
      <c r="Q338" s="340"/>
      <c r="R338" s="340"/>
      <c r="S338" s="340"/>
      <c r="T338" s="340"/>
      <c r="U338" s="340"/>
      <c r="V338" s="340">
        <f>'[3]SPJ FUNGSIONAL '!$X$331</f>
        <v>6400000</v>
      </c>
      <c r="W338" s="340">
        <v>2250000</v>
      </c>
      <c r="X338" s="340">
        <f t="shared" ref="X338" si="221">V338+W338</f>
        <v>8650000</v>
      </c>
      <c r="Y338" s="340">
        <f t="shared" ref="Y338" si="222">R338+U338+X338</f>
        <v>8650000</v>
      </c>
      <c r="Z338" s="341">
        <f t="shared" si="213"/>
        <v>2600000</v>
      </c>
      <c r="AA338" s="393"/>
      <c r="AB338" s="267"/>
      <c r="AC338" s="267"/>
      <c r="AD338" s="267"/>
      <c r="AE338" s="267"/>
      <c r="AF338" s="267"/>
      <c r="AG338" s="267"/>
      <c r="AH338" s="267"/>
      <c r="AI338" s="267"/>
      <c r="AJ338" s="267"/>
      <c r="AK338" s="267"/>
      <c r="AL338" s="267"/>
    </row>
    <row r="339" spans="1:38" s="268" customFormat="1" ht="46.5" customHeight="1">
      <c r="A339" s="379">
        <v>7</v>
      </c>
      <c r="B339" s="380" t="s">
        <v>19</v>
      </c>
      <c r="C339" s="380" t="s">
        <v>30</v>
      </c>
      <c r="D339" s="289">
        <v>2</v>
      </c>
      <c r="E339" s="396" t="s">
        <v>22</v>
      </c>
      <c r="F339" s="396" t="s">
        <v>19</v>
      </c>
      <c r="G339" s="397">
        <v>5</v>
      </c>
      <c r="H339" s="397">
        <v>1</v>
      </c>
      <c r="I339" s="396" t="s">
        <v>22</v>
      </c>
      <c r="J339" s="328" t="s">
        <v>22</v>
      </c>
      <c r="K339" s="328" t="s">
        <v>36</v>
      </c>
      <c r="L339" s="315"/>
      <c r="M339" s="326"/>
      <c r="N339" s="323" t="s">
        <v>263</v>
      </c>
      <c r="O339" s="408">
        <f>O340</f>
        <v>1000000</v>
      </c>
      <c r="P339" s="340"/>
      <c r="Q339" s="340"/>
      <c r="R339" s="340"/>
      <c r="S339" s="340"/>
      <c r="T339" s="340"/>
      <c r="U339" s="340"/>
      <c r="V339" s="408">
        <f t="shared" ref="V339:W339" si="223">V340</f>
        <v>0</v>
      </c>
      <c r="W339" s="408">
        <f t="shared" si="223"/>
        <v>1000000</v>
      </c>
      <c r="X339" s="409">
        <f t="shared" ref="X339:X340" si="224">V339+W339</f>
        <v>1000000</v>
      </c>
      <c r="Y339" s="409">
        <f t="shared" ref="Y339:Y340" si="225">R339+U339+X339</f>
        <v>1000000</v>
      </c>
      <c r="Z339" s="341">
        <f t="shared" ref="Z339:Z340" si="226">O339-Y339</f>
        <v>0</v>
      </c>
      <c r="AA339" s="393"/>
      <c r="AB339" s="267"/>
      <c r="AC339" s="267"/>
      <c r="AD339" s="267"/>
      <c r="AE339" s="267"/>
      <c r="AF339" s="267"/>
      <c r="AG339" s="267"/>
      <c r="AH339" s="267"/>
      <c r="AI339" s="267"/>
      <c r="AJ339" s="267"/>
      <c r="AK339" s="267"/>
      <c r="AL339" s="267"/>
    </row>
    <row r="340" spans="1:38" s="268" customFormat="1" ht="46.5" customHeight="1">
      <c r="A340" s="384">
        <v>7</v>
      </c>
      <c r="B340" s="385" t="s">
        <v>19</v>
      </c>
      <c r="C340" s="385" t="s">
        <v>30</v>
      </c>
      <c r="D340" s="307">
        <v>2</v>
      </c>
      <c r="E340" s="400" t="s">
        <v>22</v>
      </c>
      <c r="F340" s="400" t="s">
        <v>19</v>
      </c>
      <c r="G340" s="398">
        <v>5</v>
      </c>
      <c r="H340" s="398">
        <v>1</v>
      </c>
      <c r="I340" s="400" t="s">
        <v>22</v>
      </c>
      <c r="J340" s="314" t="s">
        <v>22</v>
      </c>
      <c r="K340" s="314" t="s">
        <v>36</v>
      </c>
      <c r="L340" s="314" t="s">
        <v>56</v>
      </c>
      <c r="M340" s="326">
        <v>8</v>
      </c>
      <c r="N340" s="407" t="s">
        <v>292</v>
      </c>
      <c r="O340" s="401">
        <v>1000000</v>
      </c>
      <c r="P340" s="340"/>
      <c r="Q340" s="340"/>
      <c r="R340" s="340"/>
      <c r="S340" s="340"/>
      <c r="T340" s="340"/>
      <c r="U340" s="340"/>
      <c r="V340" s="340"/>
      <c r="W340" s="340">
        <v>1000000</v>
      </c>
      <c r="X340" s="340">
        <f t="shared" si="224"/>
        <v>1000000</v>
      </c>
      <c r="Y340" s="340">
        <f t="shared" si="225"/>
        <v>1000000</v>
      </c>
      <c r="Z340" s="341">
        <f t="shared" si="226"/>
        <v>0</v>
      </c>
      <c r="AA340" s="393"/>
      <c r="AB340" s="267"/>
      <c r="AC340" s="267"/>
      <c r="AD340" s="267"/>
      <c r="AE340" s="267"/>
      <c r="AF340" s="267"/>
      <c r="AG340" s="267"/>
      <c r="AH340" s="267"/>
      <c r="AI340" s="267"/>
      <c r="AJ340" s="267"/>
      <c r="AK340" s="267"/>
      <c r="AL340" s="267"/>
    </row>
    <row r="341" spans="1:38" s="268" customFormat="1" ht="36" customHeight="1">
      <c r="A341" s="379">
        <v>7</v>
      </c>
      <c r="B341" s="380" t="s">
        <v>19</v>
      </c>
      <c r="C341" s="380" t="s">
        <v>32</v>
      </c>
      <c r="D341" s="289">
        <v>2</v>
      </c>
      <c r="E341" s="302" t="s">
        <v>19</v>
      </c>
      <c r="F341" s="302" t="s">
        <v>38</v>
      </c>
      <c r="G341" s="289">
        <v>5</v>
      </c>
      <c r="H341" s="289">
        <v>1</v>
      </c>
      <c r="I341" s="302" t="s">
        <v>22</v>
      </c>
      <c r="J341" s="302" t="s">
        <v>54</v>
      </c>
      <c r="K341" s="289"/>
      <c r="L341" s="307"/>
      <c r="M341" s="308"/>
      <c r="N341" s="316" t="s">
        <v>68</v>
      </c>
      <c r="O341" s="408">
        <f>O342</f>
        <v>5775000</v>
      </c>
      <c r="P341" s="340"/>
      <c r="Q341" s="340"/>
      <c r="R341" s="340"/>
      <c r="S341" s="340"/>
      <c r="T341" s="340"/>
      <c r="U341" s="340"/>
      <c r="V341" s="408">
        <f t="shared" ref="V341:W342" si="227">V342</f>
        <v>1050000</v>
      </c>
      <c r="W341" s="408">
        <f t="shared" si="227"/>
        <v>3700000</v>
      </c>
      <c r="X341" s="409">
        <f t="shared" ref="X341:X343" si="228">V341+W341</f>
        <v>4750000</v>
      </c>
      <c r="Y341" s="409">
        <f t="shared" ref="Y341:Y343" si="229">R341+U341+X341</f>
        <v>4750000</v>
      </c>
      <c r="Z341" s="421">
        <f t="shared" si="213"/>
        <v>1025000</v>
      </c>
      <c r="AA341" s="393"/>
      <c r="AB341" s="267"/>
      <c r="AC341" s="267"/>
      <c r="AD341" s="267"/>
      <c r="AE341" s="267"/>
      <c r="AF341" s="267"/>
      <c r="AG341" s="267"/>
      <c r="AH341" s="267"/>
      <c r="AI341" s="267"/>
      <c r="AJ341" s="267"/>
      <c r="AK341" s="267"/>
      <c r="AL341" s="267"/>
    </row>
    <row r="342" spans="1:38" s="268" customFormat="1" ht="36" customHeight="1">
      <c r="A342" s="379">
        <v>7</v>
      </c>
      <c r="B342" s="380" t="s">
        <v>19</v>
      </c>
      <c r="C342" s="380" t="s">
        <v>32</v>
      </c>
      <c r="D342" s="289">
        <v>2</v>
      </c>
      <c r="E342" s="302" t="s">
        <v>19</v>
      </c>
      <c r="F342" s="302" t="s">
        <v>38</v>
      </c>
      <c r="G342" s="289">
        <v>5</v>
      </c>
      <c r="H342" s="289">
        <v>1</v>
      </c>
      <c r="I342" s="302" t="s">
        <v>22</v>
      </c>
      <c r="J342" s="302" t="s">
        <v>54</v>
      </c>
      <c r="K342" s="302" t="s">
        <v>19</v>
      </c>
      <c r="L342" s="307"/>
      <c r="M342" s="308"/>
      <c r="N342" s="410" t="s">
        <v>69</v>
      </c>
      <c r="O342" s="408">
        <f>O343</f>
        <v>5775000</v>
      </c>
      <c r="P342" s="340"/>
      <c r="Q342" s="340"/>
      <c r="R342" s="340"/>
      <c r="S342" s="340"/>
      <c r="T342" s="340"/>
      <c r="U342" s="340"/>
      <c r="V342" s="408">
        <f t="shared" si="227"/>
        <v>1050000</v>
      </c>
      <c r="W342" s="408">
        <f t="shared" si="227"/>
        <v>3700000</v>
      </c>
      <c r="X342" s="409">
        <f t="shared" si="228"/>
        <v>4750000</v>
      </c>
      <c r="Y342" s="409">
        <f t="shared" si="229"/>
        <v>4750000</v>
      </c>
      <c r="Z342" s="421">
        <f t="shared" si="213"/>
        <v>1025000</v>
      </c>
      <c r="AA342" s="393"/>
      <c r="AB342" s="267"/>
      <c r="AC342" s="267"/>
      <c r="AD342" s="267"/>
      <c r="AE342" s="267"/>
      <c r="AF342" s="267"/>
      <c r="AG342" s="267"/>
      <c r="AH342" s="267"/>
      <c r="AI342" s="267"/>
      <c r="AJ342" s="267"/>
      <c r="AK342" s="267"/>
      <c r="AL342" s="267"/>
    </row>
    <row r="343" spans="1:38" s="268" customFormat="1" ht="36" customHeight="1">
      <c r="A343" s="384">
        <v>7</v>
      </c>
      <c r="B343" s="385" t="s">
        <v>19</v>
      </c>
      <c r="C343" s="385" t="s">
        <v>32</v>
      </c>
      <c r="D343" s="307">
        <v>2</v>
      </c>
      <c r="E343" s="306" t="s">
        <v>19</v>
      </c>
      <c r="F343" s="306" t="s">
        <v>38</v>
      </c>
      <c r="G343" s="307">
        <v>5</v>
      </c>
      <c r="H343" s="307">
        <v>1</v>
      </c>
      <c r="I343" s="306" t="s">
        <v>22</v>
      </c>
      <c r="J343" s="306" t="s">
        <v>54</v>
      </c>
      <c r="K343" s="306" t="s">
        <v>19</v>
      </c>
      <c r="L343" s="306" t="s">
        <v>27</v>
      </c>
      <c r="M343" s="308">
        <v>3</v>
      </c>
      <c r="N343" s="407" t="s">
        <v>144</v>
      </c>
      <c r="O343" s="401">
        <v>5775000</v>
      </c>
      <c r="P343" s="340"/>
      <c r="Q343" s="340"/>
      <c r="R343" s="340"/>
      <c r="S343" s="340"/>
      <c r="T343" s="340"/>
      <c r="U343" s="340"/>
      <c r="V343" s="340">
        <f>'[3]SPJ FUNGSIONAL '!$X$334</f>
        <v>1050000</v>
      </c>
      <c r="W343" s="340">
        <v>3700000</v>
      </c>
      <c r="X343" s="340">
        <f t="shared" si="228"/>
        <v>4750000</v>
      </c>
      <c r="Y343" s="340">
        <f t="shared" si="229"/>
        <v>4750000</v>
      </c>
      <c r="Z343" s="341">
        <f t="shared" si="213"/>
        <v>1025000</v>
      </c>
      <c r="AA343" s="393"/>
      <c r="AB343" s="267"/>
      <c r="AC343" s="267"/>
      <c r="AD343" s="267"/>
      <c r="AE343" s="267"/>
      <c r="AF343" s="267"/>
      <c r="AG343" s="267"/>
      <c r="AH343" s="267"/>
      <c r="AI343" s="267"/>
      <c r="AJ343" s="267"/>
      <c r="AK343" s="267"/>
      <c r="AL343" s="267"/>
    </row>
    <row r="344" spans="1:38" s="268" customFormat="1" ht="60" customHeight="1">
      <c r="A344" s="379">
        <v>7</v>
      </c>
      <c r="B344" s="380" t="s">
        <v>19</v>
      </c>
      <c r="C344" s="380" t="s">
        <v>32</v>
      </c>
      <c r="D344" s="289">
        <v>2</v>
      </c>
      <c r="E344" s="302" t="s">
        <v>19</v>
      </c>
      <c r="F344" s="302" t="s">
        <v>38</v>
      </c>
      <c r="G344" s="289">
        <v>5</v>
      </c>
      <c r="H344" s="289">
        <v>1</v>
      </c>
      <c r="I344" s="302" t="s">
        <v>22</v>
      </c>
      <c r="J344" s="302" t="s">
        <v>32</v>
      </c>
      <c r="K344" s="289"/>
      <c r="L344" s="307"/>
      <c r="M344" s="308"/>
      <c r="N344" s="316" t="s">
        <v>118</v>
      </c>
      <c r="O344" s="408">
        <f>O345</f>
        <v>18400000</v>
      </c>
      <c r="P344" s="340"/>
      <c r="Q344" s="340"/>
      <c r="R344" s="340"/>
      <c r="S344" s="340"/>
      <c r="T344" s="340"/>
      <c r="U344" s="340"/>
      <c r="V344" s="408">
        <f t="shared" ref="V344:W345" si="230">V345</f>
        <v>3100000</v>
      </c>
      <c r="W344" s="408">
        <f t="shared" si="230"/>
        <v>6100000</v>
      </c>
      <c r="X344" s="409">
        <f t="shared" ref="X344:X346" si="231">V344+W344</f>
        <v>9200000</v>
      </c>
      <c r="Y344" s="409">
        <f t="shared" ref="Y344:Y346" si="232">R344+U344+X344</f>
        <v>9200000</v>
      </c>
      <c r="Z344" s="421">
        <f t="shared" si="213"/>
        <v>9200000</v>
      </c>
      <c r="AA344" s="393"/>
      <c r="AB344" s="267"/>
      <c r="AC344" s="267"/>
      <c r="AD344" s="267"/>
      <c r="AE344" s="267"/>
      <c r="AF344" s="267"/>
      <c r="AG344" s="267"/>
      <c r="AH344" s="267"/>
      <c r="AI344" s="267"/>
      <c r="AJ344" s="267"/>
      <c r="AK344" s="267"/>
      <c r="AL344" s="267"/>
    </row>
    <row r="345" spans="1:38" s="268" customFormat="1" ht="46.5" customHeight="1">
      <c r="A345" s="379">
        <v>7</v>
      </c>
      <c r="B345" s="380" t="s">
        <v>19</v>
      </c>
      <c r="C345" s="380" t="s">
        <v>32</v>
      </c>
      <c r="D345" s="289">
        <v>2</v>
      </c>
      <c r="E345" s="302" t="s">
        <v>19</v>
      </c>
      <c r="F345" s="302" t="s">
        <v>38</v>
      </c>
      <c r="G345" s="289">
        <v>5</v>
      </c>
      <c r="H345" s="289">
        <v>1</v>
      </c>
      <c r="I345" s="302" t="s">
        <v>22</v>
      </c>
      <c r="J345" s="302" t="s">
        <v>32</v>
      </c>
      <c r="K345" s="484" t="s">
        <v>19</v>
      </c>
      <c r="L345" s="482"/>
      <c r="M345" s="417"/>
      <c r="N345" s="316" t="s">
        <v>119</v>
      </c>
      <c r="O345" s="408">
        <f>O346</f>
        <v>18400000</v>
      </c>
      <c r="P345" s="340"/>
      <c r="Q345" s="340"/>
      <c r="R345" s="340"/>
      <c r="S345" s="340"/>
      <c r="T345" s="340"/>
      <c r="U345" s="340"/>
      <c r="V345" s="408">
        <f t="shared" si="230"/>
        <v>3100000</v>
      </c>
      <c r="W345" s="408">
        <f t="shared" si="230"/>
        <v>6100000</v>
      </c>
      <c r="X345" s="409">
        <f t="shared" si="231"/>
        <v>9200000</v>
      </c>
      <c r="Y345" s="409">
        <f t="shared" si="232"/>
        <v>9200000</v>
      </c>
      <c r="Z345" s="421">
        <f t="shared" si="213"/>
        <v>9200000</v>
      </c>
      <c r="AA345" s="393"/>
      <c r="AB345" s="267"/>
      <c r="AC345" s="267"/>
      <c r="AD345" s="267"/>
      <c r="AE345" s="267"/>
      <c r="AF345" s="267"/>
      <c r="AG345" s="267"/>
      <c r="AH345" s="267"/>
      <c r="AI345" s="267"/>
      <c r="AJ345" s="267"/>
      <c r="AK345" s="267"/>
      <c r="AL345" s="267"/>
    </row>
    <row r="346" spans="1:38" s="268" customFormat="1" ht="46.5" customHeight="1">
      <c r="A346" s="384">
        <v>7</v>
      </c>
      <c r="B346" s="385" t="s">
        <v>19</v>
      </c>
      <c r="C346" s="385" t="s">
        <v>32</v>
      </c>
      <c r="D346" s="307">
        <v>2</v>
      </c>
      <c r="E346" s="306" t="s">
        <v>19</v>
      </c>
      <c r="F346" s="306" t="s">
        <v>38</v>
      </c>
      <c r="G346" s="307">
        <v>5</v>
      </c>
      <c r="H346" s="307">
        <v>1</v>
      </c>
      <c r="I346" s="306" t="s">
        <v>22</v>
      </c>
      <c r="J346" s="306" t="s">
        <v>32</v>
      </c>
      <c r="K346" s="482" t="s">
        <v>19</v>
      </c>
      <c r="L346" s="482" t="s">
        <v>27</v>
      </c>
      <c r="M346" s="417">
        <v>1</v>
      </c>
      <c r="N346" s="407" t="s">
        <v>272</v>
      </c>
      <c r="O346" s="401">
        <v>18400000</v>
      </c>
      <c r="P346" s="340"/>
      <c r="Q346" s="340"/>
      <c r="R346" s="340"/>
      <c r="S346" s="340"/>
      <c r="T346" s="340"/>
      <c r="U346" s="340"/>
      <c r="V346" s="340">
        <f>'[3]SPJ FUNGSIONAL '!$X$337</f>
        <v>3100000</v>
      </c>
      <c r="W346" s="340">
        <v>6100000</v>
      </c>
      <c r="X346" s="340">
        <f t="shared" si="231"/>
        <v>9200000</v>
      </c>
      <c r="Y346" s="340">
        <f t="shared" si="232"/>
        <v>9200000</v>
      </c>
      <c r="Z346" s="341">
        <f t="shared" si="213"/>
        <v>9200000</v>
      </c>
      <c r="AA346" s="393"/>
      <c r="AB346" s="267"/>
      <c r="AC346" s="267"/>
      <c r="AD346" s="267"/>
      <c r="AE346" s="267"/>
      <c r="AF346" s="267"/>
      <c r="AG346" s="267"/>
      <c r="AH346" s="267"/>
      <c r="AI346" s="267"/>
      <c r="AJ346" s="267"/>
      <c r="AK346" s="267"/>
      <c r="AL346" s="267"/>
    </row>
    <row r="347" spans="1:38" s="429" customFormat="1" ht="36" customHeight="1">
      <c r="A347" s="500"/>
      <c r="B347" s="501"/>
      <c r="C347" s="501"/>
      <c r="D347" s="502"/>
      <c r="E347" s="502"/>
      <c r="F347" s="502"/>
      <c r="G347" s="502"/>
      <c r="H347" s="502"/>
      <c r="I347" s="502"/>
      <c r="J347" s="502"/>
      <c r="K347" s="502"/>
      <c r="L347" s="502"/>
      <c r="M347" s="503"/>
      <c r="N347" s="504" t="s">
        <v>153</v>
      </c>
      <c r="O347" s="505">
        <f t="shared" ref="O347:Z347" si="233">O21</f>
        <v>19003336695</v>
      </c>
      <c r="P347" s="505">
        <f t="shared" si="233"/>
        <v>8580075771</v>
      </c>
      <c r="Q347" s="505">
        <f t="shared" si="233"/>
        <v>1072563186</v>
      </c>
      <c r="R347" s="505">
        <f t="shared" si="233"/>
        <v>9652638957</v>
      </c>
      <c r="S347" s="505">
        <f t="shared" si="233"/>
        <v>67320000</v>
      </c>
      <c r="T347" s="505">
        <f t="shared" si="233"/>
        <v>0</v>
      </c>
      <c r="U347" s="505">
        <f t="shared" si="233"/>
        <v>67320000</v>
      </c>
      <c r="V347" s="505">
        <f t="shared" si="233"/>
        <v>7108781753</v>
      </c>
      <c r="W347" s="505">
        <f t="shared" si="233"/>
        <v>1475715545</v>
      </c>
      <c r="X347" s="505">
        <f t="shared" si="233"/>
        <v>8584497298</v>
      </c>
      <c r="Y347" s="505">
        <f t="shared" si="233"/>
        <v>18304456255</v>
      </c>
      <c r="Z347" s="505">
        <f t="shared" si="233"/>
        <v>698880440</v>
      </c>
      <c r="AA347" s="427"/>
      <c r="AB347" s="428"/>
      <c r="AC347" s="428"/>
      <c r="AD347" s="428"/>
      <c r="AE347" s="428"/>
      <c r="AF347" s="428"/>
      <c r="AG347" s="428"/>
      <c r="AH347" s="428"/>
      <c r="AI347" s="428"/>
      <c r="AJ347" s="428"/>
      <c r="AK347" s="428"/>
      <c r="AL347" s="428"/>
    </row>
    <row r="348" spans="1:38" s="499" customFormat="1" ht="36" customHeight="1">
      <c r="A348" s="506"/>
      <c r="B348" s="506"/>
      <c r="C348" s="506"/>
      <c r="D348" s="397"/>
      <c r="E348" s="397"/>
      <c r="F348" s="397"/>
      <c r="G348" s="397"/>
      <c r="H348" s="397"/>
      <c r="I348" s="397"/>
      <c r="J348" s="397"/>
      <c r="K348" s="397"/>
      <c r="L348" s="397"/>
      <c r="M348" s="397"/>
      <c r="N348" s="506"/>
      <c r="O348" s="507"/>
      <c r="P348" s="507"/>
      <c r="Q348" s="507"/>
      <c r="R348" s="507"/>
      <c r="S348" s="507"/>
      <c r="T348" s="507"/>
      <c r="U348" s="507"/>
      <c r="V348" s="507"/>
      <c r="W348" s="507"/>
      <c r="X348" s="507"/>
      <c r="Y348" s="507"/>
      <c r="Z348" s="507"/>
      <c r="AA348" s="497"/>
      <c r="AB348" s="498"/>
      <c r="AC348" s="498"/>
      <c r="AD348" s="498"/>
      <c r="AE348" s="498"/>
      <c r="AF348" s="498"/>
      <c r="AG348" s="498"/>
      <c r="AH348" s="498"/>
      <c r="AI348" s="498"/>
      <c r="AJ348" s="498"/>
      <c r="AK348" s="498"/>
      <c r="AL348" s="498"/>
    </row>
    <row r="349" spans="1:38" s="499" customFormat="1" ht="36" customHeight="1">
      <c r="A349" s="389"/>
      <c r="B349" s="389"/>
      <c r="C349" s="389"/>
      <c r="D349" s="480"/>
      <c r="E349" s="480"/>
      <c r="F349" s="480"/>
      <c r="G349" s="480"/>
      <c r="H349" s="480"/>
      <c r="I349" s="480"/>
      <c r="J349" s="480"/>
      <c r="K349" s="480"/>
      <c r="L349" s="480"/>
      <c r="M349" s="480"/>
      <c r="N349" s="389"/>
      <c r="O349" s="496"/>
      <c r="P349" s="496"/>
      <c r="Q349" s="496"/>
      <c r="R349" s="496"/>
      <c r="S349" s="496"/>
      <c r="T349" s="496"/>
      <c r="U349" s="496"/>
      <c r="V349" s="496"/>
      <c r="W349" s="496"/>
      <c r="X349" s="496"/>
      <c r="Y349" s="496"/>
      <c r="Z349" s="496"/>
      <c r="AA349" s="497"/>
      <c r="AB349" s="498"/>
      <c r="AC349" s="498"/>
      <c r="AD349" s="498"/>
      <c r="AE349" s="498"/>
      <c r="AF349" s="498"/>
      <c r="AG349" s="498"/>
      <c r="AH349" s="498"/>
      <c r="AI349" s="498"/>
      <c r="AJ349" s="498"/>
      <c r="AK349" s="498"/>
      <c r="AL349" s="498"/>
    </row>
    <row r="350" spans="1:38" s="499" customFormat="1" ht="36" customHeight="1">
      <c r="A350" s="389"/>
      <c r="B350" s="389"/>
      <c r="C350" s="389"/>
      <c r="D350" s="480"/>
      <c r="E350" s="480"/>
      <c r="F350" s="480"/>
      <c r="G350" s="480"/>
      <c r="H350" s="480"/>
      <c r="I350" s="480"/>
      <c r="J350" s="480"/>
      <c r="K350" s="480"/>
      <c r="L350" s="480"/>
      <c r="M350" s="480"/>
      <c r="N350" s="389"/>
      <c r="O350" s="496"/>
      <c r="P350" s="496"/>
      <c r="Q350" s="496"/>
      <c r="R350" s="496"/>
      <c r="S350" s="496"/>
      <c r="T350" s="496"/>
      <c r="U350" s="496"/>
      <c r="V350" s="496"/>
      <c r="W350" s="496"/>
      <c r="X350" s="496"/>
      <c r="Y350" s="496"/>
      <c r="Z350" s="496"/>
      <c r="AA350" s="497"/>
      <c r="AB350" s="498"/>
      <c r="AC350" s="498"/>
      <c r="AD350" s="498"/>
      <c r="AE350" s="498"/>
      <c r="AF350" s="498"/>
      <c r="AG350" s="498"/>
      <c r="AH350" s="498"/>
      <c r="AI350" s="498"/>
      <c r="AJ350" s="498"/>
      <c r="AK350" s="498"/>
      <c r="AL350" s="498"/>
    </row>
    <row r="351" spans="1:38" s="499" customFormat="1" ht="36" customHeight="1">
      <c r="A351" s="389"/>
      <c r="B351" s="389"/>
      <c r="C351" s="389"/>
      <c r="D351" s="480"/>
      <c r="E351" s="480"/>
      <c r="F351" s="480"/>
      <c r="G351" s="480"/>
      <c r="H351" s="480"/>
      <c r="I351" s="480"/>
      <c r="J351" s="480"/>
      <c r="K351" s="480"/>
      <c r="L351" s="480"/>
      <c r="M351" s="480"/>
      <c r="N351" s="389"/>
      <c r="O351" s="496"/>
      <c r="P351" s="496"/>
      <c r="Q351" s="496"/>
      <c r="R351" s="496"/>
      <c r="S351" s="496"/>
      <c r="T351" s="496"/>
      <c r="U351" s="496"/>
      <c r="V351" s="496"/>
      <c r="W351" s="496"/>
      <c r="X351" s="496"/>
      <c r="Y351" s="496"/>
      <c r="Z351" s="496"/>
      <c r="AA351" s="497"/>
      <c r="AB351" s="498"/>
      <c r="AC351" s="498"/>
      <c r="AD351" s="498"/>
      <c r="AE351" s="498"/>
      <c r="AF351" s="498"/>
      <c r="AG351" s="498"/>
      <c r="AH351" s="498"/>
      <c r="AI351" s="498"/>
      <c r="AJ351" s="498"/>
      <c r="AK351" s="498"/>
      <c r="AL351" s="498"/>
    </row>
    <row r="352" spans="1:38" s="499" customFormat="1" ht="36" customHeight="1">
      <c r="A352" s="389"/>
      <c r="B352" s="389"/>
      <c r="C352" s="389"/>
      <c r="D352" s="480"/>
      <c r="E352" s="480"/>
      <c r="F352" s="480"/>
      <c r="G352" s="480"/>
      <c r="H352" s="480"/>
      <c r="I352" s="480"/>
      <c r="J352" s="480"/>
      <c r="K352" s="480"/>
      <c r="L352" s="480"/>
      <c r="M352" s="480"/>
      <c r="N352" s="389"/>
      <c r="O352" s="496"/>
      <c r="P352" s="496"/>
      <c r="Q352" s="496"/>
      <c r="R352" s="496"/>
      <c r="S352" s="496"/>
      <c r="T352" s="496"/>
      <c r="U352" s="496"/>
      <c r="V352" s="496"/>
      <c r="W352" s="496"/>
      <c r="X352" s="496"/>
      <c r="Y352" s="496"/>
      <c r="Z352" s="496"/>
      <c r="AA352" s="497"/>
      <c r="AB352" s="498"/>
      <c r="AC352" s="498"/>
      <c r="AD352" s="498"/>
      <c r="AE352" s="498"/>
      <c r="AF352" s="498"/>
      <c r="AG352" s="498"/>
      <c r="AH352" s="498"/>
      <c r="AI352" s="498"/>
      <c r="AJ352" s="498"/>
      <c r="AK352" s="498"/>
      <c r="AL352" s="498"/>
    </row>
    <row r="353" spans="1:38" s="499" customFormat="1" ht="36" customHeight="1">
      <c r="A353" s="389"/>
      <c r="B353" s="389"/>
      <c r="C353" s="389"/>
      <c r="D353" s="480"/>
      <c r="E353" s="480"/>
      <c r="F353" s="480"/>
      <c r="G353" s="480"/>
      <c r="H353" s="480"/>
      <c r="I353" s="480"/>
      <c r="J353" s="480"/>
      <c r="K353" s="480"/>
      <c r="L353" s="480"/>
      <c r="M353" s="480"/>
      <c r="N353" s="389"/>
      <c r="O353" s="496"/>
      <c r="P353" s="496"/>
      <c r="Q353" s="496"/>
      <c r="R353" s="496"/>
      <c r="S353" s="496"/>
      <c r="T353" s="496"/>
      <c r="U353" s="496"/>
      <c r="V353" s="496"/>
      <c r="W353" s="496"/>
      <c r="X353" s="496"/>
      <c r="Y353" s="496"/>
      <c r="Z353" s="496"/>
      <c r="AA353" s="497"/>
      <c r="AB353" s="498"/>
      <c r="AC353" s="498"/>
      <c r="AD353" s="498"/>
      <c r="AE353" s="498"/>
      <c r="AF353" s="498"/>
      <c r="AG353" s="498"/>
      <c r="AH353" s="498"/>
      <c r="AI353" s="498"/>
      <c r="AJ353" s="498"/>
      <c r="AK353" s="498"/>
      <c r="AL353" s="498"/>
    </row>
    <row r="354" spans="1:38" s="499" customFormat="1" ht="36" customHeight="1">
      <c r="A354" s="389"/>
      <c r="B354" s="389"/>
      <c r="C354" s="389"/>
      <c r="D354" s="480"/>
      <c r="E354" s="480"/>
      <c r="F354" s="480"/>
      <c r="G354" s="480"/>
      <c r="H354" s="480"/>
      <c r="I354" s="480"/>
      <c r="J354" s="480"/>
      <c r="K354" s="480"/>
      <c r="L354" s="480"/>
      <c r="M354" s="480"/>
      <c r="N354" s="389"/>
      <c r="O354" s="496"/>
      <c r="P354" s="496"/>
      <c r="Q354" s="496"/>
      <c r="R354" s="496"/>
      <c r="S354" s="496"/>
      <c r="T354" s="496"/>
      <c r="U354" s="496"/>
      <c r="V354" s="496"/>
      <c r="W354" s="496"/>
      <c r="X354" s="496"/>
      <c r="Y354" s="496"/>
      <c r="Z354" s="496"/>
      <c r="AA354" s="497"/>
      <c r="AB354" s="498"/>
      <c r="AC354" s="498"/>
      <c r="AD354" s="498"/>
      <c r="AE354" s="498"/>
      <c r="AF354" s="498"/>
      <c r="AG354" s="498"/>
      <c r="AH354" s="498"/>
      <c r="AI354" s="498"/>
      <c r="AJ354" s="498"/>
      <c r="AK354" s="498"/>
      <c r="AL354" s="498"/>
    </row>
    <row r="355" spans="1:38" s="499" customFormat="1" ht="36" customHeight="1">
      <c r="A355" s="389"/>
      <c r="B355" s="389"/>
      <c r="C355" s="389"/>
      <c r="D355" s="480"/>
      <c r="E355" s="480"/>
      <c r="F355" s="480"/>
      <c r="G355" s="480"/>
      <c r="H355" s="480"/>
      <c r="I355" s="480"/>
      <c r="J355" s="480"/>
      <c r="K355" s="480"/>
      <c r="L355" s="480"/>
      <c r="M355" s="480"/>
      <c r="N355" s="389"/>
      <c r="O355" s="496"/>
      <c r="P355" s="496"/>
      <c r="Q355" s="496"/>
      <c r="R355" s="496"/>
      <c r="S355" s="496"/>
      <c r="T355" s="496"/>
      <c r="U355" s="496"/>
      <c r="V355" s="496"/>
      <c r="W355" s="496"/>
      <c r="X355" s="496"/>
      <c r="Y355" s="496"/>
      <c r="Z355" s="496"/>
      <c r="AA355" s="497"/>
      <c r="AB355" s="498"/>
      <c r="AC355" s="498"/>
      <c r="AD355" s="498"/>
      <c r="AE355" s="498"/>
      <c r="AF355" s="498"/>
      <c r="AG355" s="498"/>
      <c r="AH355" s="498"/>
      <c r="AI355" s="498"/>
      <c r="AJ355" s="498"/>
      <c r="AK355" s="498"/>
      <c r="AL355" s="498"/>
    </row>
    <row r="356" spans="1:38" s="499" customFormat="1" ht="36" customHeight="1">
      <c r="A356" s="389"/>
      <c r="B356" s="389"/>
      <c r="C356" s="389"/>
      <c r="D356" s="480"/>
      <c r="E356" s="480"/>
      <c r="F356" s="480"/>
      <c r="G356" s="480"/>
      <c r="H356" s="480"/>
      <c r="I356" s="480"/>
      <c r="J356" s="480"/>
      <c r="K356" s="480"/>
      <c r="L356" s="480"/>
      <c r="M356" s="480"/>
      <c r="N356" s="389"/>
      <c r="O356" s="496"/>
      <c r="P356" s="496"/>
      <c r="Q356" s="496"/>
      <c r="R356" s="496"/>
      <c r="S356" s="496"/>
      <c r="T356" s="496"/>
      <c r="U356" s="496"/>
      <c r="V356" s="496"/>
      <c r="W356" s="496"/>
      <c r="X356" s="496"/>
      <c r="Y356" s="496"/>
      <c r="Z356" s="496"/>
      <c r="AA356" s="497"/>
      <c r="AB356" s="498"/>
      <c r="AC356" s="498"/>
      <c r="AD356" s="498"/>
      <c r="AE356" s="498"/>
      <c r="AF356" s="498"/>
      <c r="AG356" s="498"/>
      <c r="AH356" s="498"/>
      <c r="AI356" s="498"/>
      <c r="AJ356" s="498"/>
      <c r="AK356" s="498"/>
      <c r="AL356" s="498"/>
    </row>
    <row r="357" spans="1:38" s="499" customFormat="1" ht="36" customHeight="1">
      <c r="A357" s="389"/>
      <c r="B357" s="389"/>
      <c r="C357" s="389"/>
      <c r="D357" s="480"/>
      <c r="E357" s="480"/>
      <c r="F357" s="480"/>
      <c r="G357" s="480"/>
      <c r="H357" s="480"/>
      <c r="I357" s="480"/>
      <c r="J357" s="480"/>
      <c r="K357" s="480"/>
      <c r="L357" s="480"/>
      <c r="M357" s="480"/>
      <c r="N357" s="389"/>
      <c r="O357" s="496"/>
      <c r="P357" s="496"/>
      <c r="Q357" s="496"/>
      <c r="R357" s="496"/>
      <c r="S357" s="496"/>
      <c r="T357" s="496"/>
      <c r="U357" s="496"/>
      <c r="V357" s="496"/>
      <c r="W357" s="496"/>
      <c r="X357" s="496"/>
      <c r="Y357" s="496"/>
      <c r="Z357" s="496"/>
      <c r="AA357" s="497"/>
      <c r="AB357" s="498"/>
      <c r="AC357" s="498"/>
      <c r="AD357" s="498"/>
      <c r="AE357" s="498"/>
      <c r="AF357" s="498"/>
      <c r="AG357" s="498"/>
      <c r="AH357" s="498"/>
      <c r="AI357" s="498"/>
      <c r="AJ357" s="498"/>
      <c r="AK357" s="498"/>
      <c r="AL357" s="498"/>
    </row>
    <row r="358" spans="1:38" s="499" customFormat="1" ht="36" customHeight="1">
      <c r="A358" s="389"/>
      <c r="B358" s="389"/>
      <c r="C358" s="389"/>
      <c r="D358" s="480"/>
      <c r="E358" s="480"/>
      <c r="F358" s="480"/>
      <c r="G358" s="480"/>
      <c r="H358" s="480"/>
      <c r="I358" s="480"/>
      <c r="J358" s="480"/>
      <c r="K358" s="480"/>
      <c r="L358" s="480"/>
      <c r="M358" s="480"/>
      <c r="N358" s="389"/>
      <c r="O358" s="496"/>
      <c r="P358" s="496"/>
      <c r="Q358" s="496"/>
      <c r="R358" s="496"/>
      <c r="S358" s="496"/>
      <c r="T358" s="496"/>
      <c r="U358" s="496"/>
      <c r="V358" s="496"/>
      <c r="W358" s="496"/>
      <c r="X358" s="496"/>
      <c r="Y358" s="496"/>
      <c r="Z358" s="496"/>
      <c r="AA358" s="497"/>
      <c r="AB358" s="498"/>
      <c r="AC358" s="498"/>
      <c r="AD358" s="498"/>
      <c r="AE358" s="498"/>
      <c r="AF358" s="498"/>
      <c r="AG358" s="498"/>
      <c r="AH358" s="498"/>
      <c r="AI358" s="498"/>
      <c r="AJ358" s="498"/>
      <c r="AK358" s="498"/>
      <c r="AL358" s="498"/>
    </row>
    <row r="359" spans="1:38" s="499" customFormat="1" ht="36" customHeight="1">
      <c r="A359" s="389"/>
      <c r="B359" s="389"/>
      <c r="C359" s="389"/>
      <c r="D359" s="480"/>
      <c r="E359" s="480"/>
      <c r="F359" s="480"/>
      <c r="G359" s="480"/>
      <c r="H359" s="480"/>
      <c r="I359" s="480"/>
      <c r="J359" s="480"/>
      <c r="K359" s="480"/>
      <c r="L359" s="480"/>
      <c r="M359" s="480"/>
      <c r="N359" s="389"/>
      <c r="O359" s="496"/>
      <c r="P359" s="496"/>
      <c r="Q359" s="496"/>
      <c r="R359" s="496"/>
      <c r="S359" s="496"/>
      <c r="T359" s="496"/>
      <c r="U359" s="496"/>
      <c r="V359" s="496"/>
      <c r="W359" s="496"/>
      <c r="X359" s="496"/>
      <c r="Y359" s="496"/>
      <c r="Z359" s="496"/>
      <c r="AA359" s="497"/>
      <c r="AB359" s="498"/>
      <c r="AC359" s="498"/>
      <c r="AD359" s="498"/>
      <c r="AE359" s="498"/>
      <c r="AF359" s="498"/>
      <c r="AG359" s="498"/>
      <c r="AH359" s="498"/>
      <c r="AI359" s="498"/>
      <c r="AJ359" s="498"/>
      <c r="AK359" s="498"/>
      <c r="AL359" s="498"/>
    </row>
    <row r="360" spans="1:38" s="499" customFormat="1" ht="13.5" customHeight="1">
      <c r="A360" s="389"/>
      <c r="B360" s="389"/>
      <c r="C360" s="389"/>
      <c r="D360" s="480"/>
      <c r="E360" s="480"/>
      <c r="F360" s="480"/>
      <c r="G360" s="480"/>
      <c r="H360" s="480"/>
      <c r="I360" s="480"/>
      <c r="J360" s="480"/>
      <c r="K360" s="480"/>
      <c r="L360" s="480"/>
      <c r="M360" s="480"/>
      <c r="N360" s="389"/>
      <c r="O360" s="496"/>
      <c r="P360" s="496"/>
      <c r="Q360" s="496"/>
      <c r="R360" s="496"/>
      <c r="S360" s="496"/>
      <c r="T360" s="496"/>
      <c r="U360" s="496"/>
      <c r="V360" s="496"/>
      <c r="W360" s="496"/>
      <c r="X360" s="496"/>
      <c r="Y360" s="496"/>
      <c r="Z360" s="496"/>
      <c r="AA360" s="497"/>
      <c r="AB360" s="498"/>
      <c r="AC360" s="498"/>
      <c r="AD360" s="498"/>
      <c r="AE360" s="498"/>
      <c r="AF360" s="498"/>
      <c r="AG360" s="498"/>
      <c r="AH360" s="498"/>
      <c r="AI360" s="498"/>
      <c r="AJ360" s="498"/>
      <c r="AK360" s="498"/>
      <c r="AL360" s="498"/>
    </row>
    <row r="361" spans="1:38" s="239" customFormat="1" ht="34.5" customHeight="1">
      <c r="A361" s="430"/>
      <c r="B361" s="431"/>
      <c r="C361" s="431"/>
      <c r="D361" s="431"/>
      <c r="E361" s="431"/>
      <c r="F361" s="431"/>
      <c r="G361" s="431"/>
      <c r="H361" s="431"/>
      <c r="I361" s="431"/>
      <c r="J361" s="431"/>
      <c r="K361" s="431"/>
      <c r="L361" s="432"/>
      <c r="M361" s="433"/>
      <c r="N361" s="434" t="s">
        <v>183</v>
      </c>
      <c r="O361" s="434"/>
      <c r="P361" s="435"/>
      <c r="Q361" s="436"/>
      <c r="R361" s="436"/>
      <c r="S361" s="436"/>
      <c r="T361" s="436"/>
      <c r="U361" s="436"/>
      <c r="V361" s="436"/>
      <c r="W361" s="436"/>
      <c r="X361" s="436"/>
      <c r="Y361" s="436"/>
      <c r="Z361" s="436"/>
      <c r="AA361" s="437"/>
      <c r="AB361" s="437"/>
      <c r="AC361" s="437"/>
      <c r="AD361" s="531">
        <f>'LRA SP2D'!R15</f>
        <v>18593156355</v>
      </c>
    </row>
    <row r="362" spans="1:38" s="239" customFormat="1" ht="34.5" customHeight="1">
      <c r="A362" s="438"/>
      <c r="B362" s="439"/>
      <c r="C362" s="439"/>
      <c r="D362" s="439"/>
      <c r="E362" s="439"/>
      <c r="F362" s="439"/>
      <c r="G362" s="439"/>
      <c r="H362" s="439"/>
      <c r="I362" s="439"/>
      <c r="J362" s="439"/>
      <c r="K362" s="439"/>
      <c r="L362" s="494"/>
      <c r="M362" s="495"/>
      <c r="N362" s="442" t="s">
        <v>184</v>
      </c>
      <c r="O362" s="435"/>
      <c r="P362" s="443">
        <f>'[1]SPJ FUNGSIONAL '!$R$362</f>
        <v>8586635993</v>
      </c>
      <c r="Q362" s="443">
        <f>357039638+4592757+8588151+351291224+351680199</f>
        <v>1073191969</v>
      </c>
      <c r="R362" s="443">
        <f>P362+Q362</f>
        <v>9659827962</v>
      </c>
      <c r="S362" s="443">
        <f>'[5]SPJ FUNGSIONAL '!$U$344</f>
        <v>67320000</v>
      </c>
      <c r="T362" s="443"/>
      <c r="U362" s="443">
        <f>S362+T362</f>
        <v>67320000</v>
      </c>
      <c r="V362" s="443">
        <f>'[1]SPJ FUNGSIONAL '!$X$362</f>
        <v>7578737068</v>
      </c>
      <c r="W362" s="443">
        <v>1287271325</v>
      </c>
      <c r="X362" s="443">
        <f>V362+W362</f>
        <v>8866008393</v>
      </c>
      <c r="Y362" s="444">
        <f>R362+U362+X362</f>
        <v>18593156355</v>
      </c>
      <c r="Z362" s="444"/>
      <c r="AA362" s="437"/>
      <c r="AB362" s="437"/>
      <c r="AC362" s="437"/>
      <c r="AD362" s="531">
        <v>18593156355</v>
      </c>
      <c r="AE362" s="463"/>
    </row>
    <row r="363" spans="1:38" s="239" customFormat="1" ht="34.5" customHeight="1">
      <c r="A363" s="438"/>
      <c r="B363" s="439"/>
      <c r="C363" s="439"/>
      <c r="D363" s="439"/>
      <c r="E363" s="439"/>
      <c r="F363" s="439"/>
      <c r="G363" s="439"/>
      <c r="H363" s="439"/>
      <c r="I363" s="439"/>
      <c r="J363" s="439"/>
      <c r="K363" s="439"/>
      <c r="L363" s="494"/>
      <c r="M363" s="495"/>
      <c r="N363" s="442" t="s">
        <v>185</v>
      </c>
      <c r="O363" s="435"/>
      <c r="P363" s="443"/>
      <c r="Q363" s="443"/>
      <c r="R363" s="443">
        <f t="shared" ref="R363:R372" si="234">P363+Q363</f>
        <v>0</v>
      </c>
      <c r="S363" s="443"/>
      <c r="T363" s="443"/>
      <c r="U363" s="443">
        <f t="shared" ref="U363:U372" si="235">S363+T363</f>
        <v>0</v>
      </c>
      <c r="V363" s="443"/>
      <c r="W363" s="443"/>
      <c r="X363" s="443">
        <f t="shared" ref="X363:X372" si="236">V363+W363</f>
        <v>0</v>
      </c>
      <c r="Y363" s="444">
        <f t="shared" ref="Y363:Y371" si="237">R363+U363+X363</f>
        <v>0</v>
      </c>
      <c r="Z363" s="444"/>
      <c r="AA363" s="437"/>
      <c r="AD363" s="456"/>
    </row>
    <row r="364" spans="1:38" s="239" customFormat="1" ht="34.5" customHeight="1">
      <c r="A364" s="438"/>
      <c r="B364" s="439"/>
      <c r="C364" s="439"/>
      <c r="D364" s="439"/>
      <c r="E364" s="439"/>
      <c r="F364" s="439"/>
      <c r="G364" s="439"/>
      <c r="H364" s="439"/>
      <c r="I364" s="439"/>
      <c r="J364" s="439"/>
      <c r="K364" s="439"/>
      <c r="L364" s="494"/>
      <c r="M364" s="495"/>
      <c r="N364" s="445" t="s">
        <v>186</v>
      </c>
      <c r="O364" s="435"/>
      <c r="P364" s="443"/>
      <c r="Q364" s="443"/>
      <c r="R364" s="443">
        <f t="shared" si="234"/>
        <v>0</v>
      </c>
      <c r="S364" s="443">
        <f>'[5]SPJ FUNGSIONAL '!$U$346</f>
        <v>6120000</v>
      </c>
      <c r="T364" s="443"/>
      <c r="U364" s="443">
        <f t="shared" si="235"/>
        <v>6120000</v>
      </c>
      <c r="V364" s="443">
        <f>'[1]SPJ FUNGSIONAL '!$X$364</f>
        <v>26340022</v>
      </c>
      <c r="W364" s="443">
        <v>2517290</v>
      </c>
      <c r="X364" s="443">
        <f t="shared" si="236"/>
        <v>28857312</v>
      </c>
      <c r="Y364" s="444">
        <f t="shared" si="237"/>
        <v>34977312</v>
      </c>
      <c r="Z364" s="444"/>
      <c r="AA364" s="437"/>
      <c r="AD364" s="456">
        <f>AD361-AD362</f>
        <v>0</v>
      </c>
    </row>
    <row r="365" spans="1:38" s="239" customFormat="1" ht="34.5" customHeight="1">
      <c r="A365" s="438"/>
      <c r="B365" s="439"/>
      <c r="C365" s="439"/>
      <c r="D365" s="439"/>
      <c r="E365" s="439"/>
      <c r="F365" s="439"/>
      <c r="G365" s="439"/>
      <c r="H365" s="439"/>
      <c r="I365" s="439"/>
      <c r="J365" s="439"/>
      <c r="K365" s="439"/>
      <c r="L365" s="440"/>
      <c r="M365" s="441"/>
      <c r="N365" s="445" t="s">
        <v>228</v>
      </c>
      <c r="O365" s="435"/>
      <c r="P365" s="443">
        <f>'[1]SPJ FUNGSIONAL '!$R$365</f>
        <v>162215387</v>
      </c>
      <c r="Q365" s="443">
        <f>94271+97500+14592175+14606053</f>
        <v>29389999</v>
      </c>
      <c r="R365" s="443">
        <f t="shared" si="234"/>
        <v>191605386</v>
      </c>
      <c r="S365" s="443"/>
      <c r="T365" s="443"/>
      <c r="U365" s="443">
        <f t="shared" si="235"/>
        <v>0</v>
      </c>
      <c r="V365" s="443">
        <f>'[1]SPJ FUNGSIONAL '!$X$365</f>
        <v>195649633</v>
      </c>
      <c r="W365" s="443">
        <v>42304990</v>
      </c>
      <c r="X365" s="443">
        <f t="shared" si="236"/>
        <v>237954623</v>
      </c>
      <c r="Y365" s="444">
        <f>R365+U365+X365</f>
        <v>429560009</v>
      </c>
      <c r="Z365" s="444"/>
      <c r="AA365" s="437"/>
    </row>
    <row r="366" spans="1:38" s="239" customFormat="1" ht="34.5" customHeight="1">
      <c r="A366" s="438"/>
      <c r="B366" s="439"/>
      <c r="C366" s="439"/>
      <c r="D366" s="439"/>
      <c r="E366" s="439"/>
      <c r="F366" s="439"/>
      <c r="G366" s="439"/>
      <c r="H366" s="439"/>
      <c r="I366" s="439"/>
      <c r="J366" s="439"/>
      <c r="K366" s="439"/>
      <c r="L366" s="440"/>
      <c r="M366" s="441"/>
      <c r="N366" s="445" t="s">
        <v>187</v>
      </c>
      <c r="O366" s="435"/>
      <c r="P366" s="443"/>
      <c r="Q366" s="443"/>
      <c r="R366" s="443">
        <f t="shared" si="234"/>
        <v>0</v>
      </c>
      <c r="S366" s="443">
        <f>'[5]SPJ FUNGSIONAL '!$U$348</f>
        <v>918000</v>
      </c>
      <c r="T366" s="443"/>
      <c r="U366" s="443">
        <f t="shared" si="235"/>
        <v>918000</v>
      </c>
      <c r="V366" s="443">
        <f>'[1]SPJ FUNGSIONAL '!$X$366</f>
        <v>5569995</v>
      </c>
      <c r="W366" s="443">
        <v>1131682</v>
      </c>
      <c r="X366" s="443">
        <f t="shared" si="236"/>
        <v>6701677</v>
      </c>
      <c r="Y366" s="444">
        <f t="shared" si="237"/>
        <v>7619677</v>
      </c>
      <c r="Z366" s="444"/>
      <c r="AA366" s="437"/>
    </row>
    <row r="367" spans="1:38" s="239" customFormat="1" ht="34.5" customHeight="1">
      <c r="A367" s="438"/>
      <c r="B367" s="439"/>
      <c r="C367" s="439"/>
      <c r="D367" s="439"/>
      <c r="E367" s="439"/>
      <c r="F367" s="439"/>
      <c r="G367" s="439"/>
      <c r="H367" s="439"/>
      <c r="I367" s="439"/>
      <c r="J367" s="439"/>
      <c r="K367" s="439"/>
      <c r="L367" s="440"/>
      <c r="M367" s="441"/>
      <c r="N367" s="445" t="s">
        <v>188</v>
      </c>
      <c r="O367" s="435"/>
      <c r="P367" s="443"/>
      <c r="Q367" s="443"/>
      <c r="R367" s="443">
        <f t="shared" si="234"/>
        <v>0</v>
      </c>
      <c r="S367" s="443"/>
      <c r="T367" s="443"/>
      <c r="U367" s="443">
        <f t="shared" si="235"/>
        <v>0</v>
      </c>
      <c r="V367" s="443">
        <f>'[1]SPJ FUNGSIONAL '!$X$367</f>
        <v>214120</v>
      </c>
      <c r="W367" s="443">
        <v>578000</v>
      </c>
      <c r="X367" s="443">
        <f t="shared" si="236"/>
        <v>792120</v>
      </c>
      <c r="Y367" s="444">
        <f t="shared" si="237"/>
        <v>792120</v>
      </c>
      <c r="Z367" s="444"/>
      <c r="AA367" s="437"/>
    </row>
    <row r="368" spans="1:38" s="239" customFormat="1" ht="34.5" customHeight="1">
      <c r="A368" s="438"/>
      <c r="B368" s="439"/>
      <c r="C368" s="439"/>
      <c r="D368" s="439"/>
      <c r="E368" s="439"/>
      <c r="F368" s="439"/>
      <c r="G368" s="439"/>
      <c r="H368" s="439"/>
      <c r="I368" s="439"/>
      <c r="J368" s="439"/>
      <c r="K368" s="439"/>
      <c r="L368" s="440"/>
      <c r="M368" s="441"/>
      <c r="N368" s="445" t="s">
        <v>189</v>
      </c>
      <c r="O368" s="435"/>
      <c r="P368" s="443"/>
      <c r="Q368" s="443"/>
      <c r="R368" s="443">
        <f t="shared" si="234"/>
        <v>0</v>
      </c>
      <c r="S368" s="443"/>
      <c r="T368" s="443"/>
      <c r="U368" s="443">
        <f t="shared" si="235"/>
        <v>0</v>
      </c>
      <c r="V368" s="443"/>
      <c r="W368" s="443"/>
      <c r="X368" s="443">
        <f t="shared" si="236"/>
        <v>0</v>
      </c>
      <c r="Y368" s="444">
        <f t="shared" si="237"/>
        <v>0</v>
      </c>
      <c r="Z368" s="444"/>
      <c r="AA368" s="437"/>
    </row>
    <row r="369" spans="1:33" s="239" customFormat="1" ht="34.5" customHeight="1">
      <c r="A369" s="438"/>
      <c r="B369" s="439"/>
      <c r="C369" s="439"/>
      <c r="D369" s="439"/>
      <c r="E369" s="439"/>
      <c r="F369" s="439"/>
      <c r="G369" s="439"/>
      <c r="H369" s="439"/>
      <c r="I369" s="439"/>
      <c r="J369" s="439"/>
      <c r="K369" s="439"/>
      <c r="L369" s="440"/>
      <c r="M369" s="441"/>
      <c r="N369" s="445" t="s">
        <v>190</v>
      </c>
      <c r="O369" s="436"/>
      <c r="P369" s="443"/>
      <c r="Q369" s="443"/>
      <c r="R369" s="443">
        <f t="shared" si="234"/>
        <v>0</v>
      </c>
      <c r="S369" s="443"/>
      <c r="T369" s="443"/>
      <c r="U369" s="443">
        <f t="shared" si="235"/>
        <v>0</v>
      </c>
      <c r="V369" s="443"/>
      <c r="W369" s="443"/>
      <c r="X369" s="443">
        <f t="shared" si="236"/>
        <v>0</v>
      </c>
      <c r="Y369" s="444">
        <f t="shared" si="237"/>
        <v>0</v>
      </c>
      <c r="Z369" s="444"/>
      <c r="AA369" s="437"/>
    </row>
    <row r="370" spans="1:33" s="239" customFormat="1" ht="34.5" customHeight="1">
      <c r="A370" s="438"/>
      <c r="B370" s="439"/>
      <c r="C370" s="439"/>
      <c r="D370" s="439"/>
      <c r="E370" s="439"/>
      <c r="F370" s="439"/>
      <c r="G370" s="439"/>
      <c r="H370" s="439"/>
      <c r="I370" s="439"/>
      <c r="J370" s="439"/>
      <c r="K370" s="439"/>
      <c r="L370" s="440"/>
      <c r="M370" s="446"/>
      <c r="N370" s="445" t="s">
        <v>191</v>
      </c>
      <c r="O370" s="435"/>
      <c r="P370" s="443"/>
      <c r="Q370" s="443"/>
      <c r="R370" s="443">
        <f t="shared" si="234"/>
        <v>0</v>
      </c>
      <c r="S370" s="443"/>
      <c r="T370" s="443"/>
      <c r="U370" s="443">
        <f t="shared" si="235"/>
        <v>0</v>
      </c>
      <c r="V370" s="443">
        <f>'[1]SPJ FUNGSIONAL '!$X$370</f>
        <v>11763625</v>
      </c>
      <c r="W370" s="443">
        <v>706000</v>
      </c>
      <c r="X370" s="443">
        <f t="shared" si="236"/>
        <v>12469625</v>
      </c>
      <c r="Y370" s="444">
        <f>R370+U370+X370</f>
        <v>12469625</v>
      </c>
      <c r="Z370" s="444"/>
      <c r="AA370" s="437"/>
    </row>
    <row r="371" spans="1:33" s="239" customFormat="1" ht="34.5" customHeight="1">
      <c r="A371" s="438"/>
      <c r="B371" s="439"/>
      <c r="C371" s="439"/>
      <c r="D371" s="439"/>
      <c r="E371" s="439"/>
      <c r="F371" s="439"/>
      <c r="G371" s="439"/>
      <c r="H371" s="439"/>
      <c r="I371" s="439"/>
      <c r="J371" s="439"/>
      <c r="K371" s="439"/>
      <c r="L371" s="440"/>
      <c r="M371" s="447"/>
      <c r="N371" s="445" t="s">
        <v>192</v>
      </c>
      <c r="O371" s="435"/>
      <c r="P371" s="443"/>
      <c r="Q371" s="443"/>
      <c r="R371" s="443">
        <f t="shared" si="234"/>
        <v>0</v>
      </c>
      <c r="S371" s="443"/>
      <c r="T371" s="443"/>
      <c r="U371" s="443">
        <f t="shared" si="235"/>
        <v>0</v>
      </c>
      <c r="V371" s="443"/>
      <c r="W371" s="443"/>
      <c r="X371" s="443">
        <f t="shared" si="236"/>
        <v>0</v>
      </c>
      <c r="Y371" s="444">
        <f t="shared" si="237"/>
        <v>0</v>
      </c>
      <c r="Z371" s="444"/>
      <c r="AA371" s="437"/>
    </row>
    <row r="372" spans="1:33" s="239" customFormat="1" ht="34.5" customHeight="1">
      <c r="A372" s="438"/>
      <c r="B372" s="439"/>
      <c r="C372" s="439"/>
      <c r="D372" s="439"/>
      <c r="E372" s="439"/>
      <c r="F372" s="439"/>
      <c r="G372" s="439"/>
      <c r="H372" s="439"/>
      <c r="I372" s="439"/>
      <c r="J372" s="439"/>
      <c r="K372" s="439"/>
      <c r="L372" s="440"/>
      <c r="M372" s="441"/>
      <c r="N372" s="448" t="s">
        <v>193</v>
      </c>
      <c r="O372" s="436"/>
      <c r="P372" s="443"/>
      <c r="Q372" s="443"/>
      <c r="R372" s="443">
        <f t="shared" si="234"/>
        <v>0</v>
      </c>
      <c r="S372" s="443"/>
      <c r="T372" s="443"/>
      <c r="U372" s="443">
        <f t="shared" si="235"/>
        <v>0</v>
      </c>
      <c r="V372" s="443">
        <f>'[6]SPJ FUNGSIONAL '!$X$372</f>
        <v>4800447368</v>
      </c>
      <c r="W372" s="443"/>
      <c r="X372" s="443">
        <f t="shared" si="236"/>
        <v>4800447368</v>
      </c>
      <c r="Y372" s="444">
        <f t="shared" ref="Y372" si="238">R372+U372+X372</f>
        <v>4800447368</v>
      </c>
      <c r="Z372" s="444"/>
      <c r="AA372" s="437"/>
      <c r="AD372" s="239">
        <f>772000000</f>
        <v>772000000</v>
      </c>
    </row>
    <row r="373" spans="1:33" s="239" customFormat="1" ht="36.75" customHeight="1">
      <c r="A373" s="438"/>
      <c r="B373" s="439"/>
      <c r="C373" s="439"/>
      <c r="D373" s="439"/>
      <c r="E373" s="439"/>
      <c r="F373" s="439"/>
      <c r="G373" s="439"/>
      <c r="H373" s="439"/>
      <c r="I373" s="439"/>
      <c r="J373" s="439"/>
      <c r="K373" s="439"/>
      <c r="L373" s="511"/>
      <c r="M373" s="512"/>
      <c r="N373" s="448" t="s">
        <v>280</v>
      </c>
      <c r="O373" s="436"/>
      <c r="P373" s="443"/>
      <c r="Q373" s="443"/>
      <c r="R373" s="443"/>
      <c r="S373" s="443"/>
      <c r="T373" s="443"/>
      <c r="U373" s="443"/>
      <c r="V373" s="443">
        <f>'[6]SPJ FUNGSIONAL '!$X$373</f>
        <v>19282000</v>
      </c>
      <c r="W373" s="443"/>
      <c r="X373" s="443">
        <f t="shared" ref="X373" si="239">V373+W373</f>
        <v>19282000</v>
      </c>
      <c r="Y373" s="444">
        <f t="shared" ref="Y373" si="240">R373+U373+X373</f>
        <v>19282000</v>
      </c>
      <c r="Z373" s="444"/>
      <c r="AA373" s="437"/>
      <c r="AD373" s="239">
        <v>107000000</v>
      </c>
    </row>
    <row r="374" spans="1:33" s="239" customFormat="1" ht="36.75" customHeight="1">
      <c r="A374" s="438"/>
      <c r="B374" s="439"/>
      <c r="C374" s="439"/>
      <c r="D374" s="439"/>
      <c r="E374" s="439"/>
      <c r="F374" s="439"/>
      <c r="G374" s="439"/>
      <c r="H374" s="439"/>
      <c r="I374" s="439"/>
      <c r="J374" s="439"/>
      <c r="K374" s="439"/>
      <c r="L374" s="513"/>
      <c r="M374" s="514"/>
      <c r="N374" s="448" t="s">
        <v>281</v>
      </c>
      <c r="O374" s="436"/>
      <c r="P374" s="443"/>
      <c r="Q374" s="443"/>
      <c r="R374" s="443"/>
      <c r="S374" s="443"/>
      <c r="T374" s="443"/>
      <c r="U374" s="443"/>
      <c r="V374" s="443">
        <v>711450</v>
      </c>
      <c r="W374" s="443"/>
      <c r="X374" s="443">
        <f t="shared" ref="X374" si="241">V374+W374</f>
        <v>711450</v>
      </c>
      <c r="Y374" s="444">
        <f t="shared" ref="Y374" si="242">R374+U374+X374</f>
        <v>711450</v>
      </c>
      <c r="Z374" s="444"/>
      <c r="AA374" s="437"/>
    </row>
    <row r="375" spans="1:33" s="239" customFormat="1" ht="36.75" customHeight="1">
      <c r="A375" s="438"/>
      <c r="B375" s="439"/>
      <c r="C375" s="439"/>
      <c r="D375" s="439"/>
      <c r="E375" s="439"/>
      <c r="F375" s="439"/>
      <c r="G375" s="439"/>
      <c r="H375" s="439"/>
      <c r="I375" s="439"/>
      <c r="J375" s="439"/>
      <c r="K375" s="439"/>
      <c r="L375" s="522"/>
      <c r="M375" s="523"/>
      <c r="N375" s="448" t="s">
        <v>293</v>
      </c>
      <c r="O375" s="436"/>
      <c r="P375" s="443"/>
      <c r="Q375" s="443"/>
      <c r="R375" s="443"/>
      <c r="S375" s="443"/>
      <c r="T375" s="443"/>
      <c r="U375" s="443"/>
      <c r="V375" s="443">
        <v>9000000</v>
      </c>
      <c r="W375" s="443"/>
      <c r="X375" s="443">
        <f t="shared" ref="X375" si="243">V375+W375</f>
        <v>9000000</v>
      </c>
      <c r="Y375" s="444">
        <f t="shared" ref="Y375" si="244">R375+U375+X375</f>
        <v>9000000</v>
      </c>
      <c r="Z375" s="444"/>
      <c r="AA375" s="437"/>
    </row>
    <row r="376" spans="1:33" s="239" customFormat="1" ht="30" customHeight="1">
      <c r="A376" s="449"/>
      <c r="B376" s="450"/>
      <c r="C376" s="450"/>
      <c r="D376" s="450"/>
      <c r="E376" s="450"/>
      <c r="F376" s="450"/>
      <c r="G376" s="450"/>
      <c r="H376" s="450"/>
      <c r="I376" s="450"/>
      <c r="J376" s="450"/>
      <c r="K376" s="450"/>
      <c r="L376" s="451"/>
      <c r="M376" s="452"/>
      <c r="N376" s="453" t="s">
        <v>194</v>
      </c>
      <c r="O376" s="454"/>
      <c r="P376" s="455">
        <f t="shared" ref="P376:U376" si="245">SUM(P362:P372)</f>
        <v>8748851380</v>
      </c>
      <c r="Q376" s="455">
        <f t="shared" si="245"/>
        <v>1102581968</v>
      </c>
      <c r="R376" s="455">
        <f t="shared" si="245"/>
        <v>9851433348</v>
      </c>
      <c r="S376" s="455">
        <f t="shared" si="245"/>
        <v>74358000</v>
      </c>
      <c r="T376" s="455">
        <f t="shared" si="245"/>
        <v>0</v>
      </c>
      <c r="U376" s="455">
        <f t="shared" si="245"/>
        <v>74358000</v>
      </c>
      <c r="V376" s="455">
        <f>SUM(V362:V375)</f>
        <v>12647715281</v>
      </c>
      <c r="W376" s="455">
        <f t="shared" ref="W376:Y376" si="246">SUM(W362:W375)</f>
        <v>1334509287</v>
      </c>
      <c r="X376" s="455">
        <f t="shared" si="246"/>
        <v>13982224568</v>
      </c>
      <c r="Y376" s="455">
        <f t="shared" si="246"/>
        <v>23908015916</v>
      </c>
      <c r="Z376" s="455"/>
      <c r="AA376" s="437"/>
    </row>
    <row r="377" spans="1:33" s="239" customFormat="1" ht="37.5" customHeight="1">
      <c r="A377" s="430"/>
      <c r="B377" s="431"/>
      <c r="C377" s="431"/>
      <c r="D377" s="431"/>
      <c r="E377" s="431"/>
      <c r="F377" s="431"/>
      <c r="G377" s="431"/>
      <c r="H377" s="431"/>
      <c r="I377" s="431"/>
      <c r="J377" s="431"/>
      <c r="K377" s="431"/>
      <c r="L377" s="432"/>
      <c r="M377" s="433"/>
      <c r="N377" s="434" t="s">
        <v>195</v>
      </c>
      <c r="O377" s="435"/>
      <c r="P377" s="443"/>
      <c r="Q377" s="443"/>
      <c r="R377" s="443"/>
      <c r="S377" s="443"/>
      <c r="T377" s="443"/>
      <c r="U377" s="443"/>
      <c r="V377" s="443"/>
      <c r="W377" s="443"/>
      <c r="X377" s="443"/>
      <c r="Y377" s="443"/>
      <c r="Z377" s="436"/>
      <c r="AA377" s="437"/>
    </row>
    <row r="378" spans="1:33" s="239" customFormat="1" ht="37.5" customHeight="1">
      <c r="A378" s="438"/>
      <c r="B378" s="439"/>
      <c r="C378" s="439"/>
      <c r="D378" s="439"/>
      <c r="E378" s="439"/>
      <c r="F378" s="439"/>
      <c r="G378" s="439"/>
      <c r="H378" s="439"/>
      <c r="I378" s="439"/>
      <c r="J378" s="439"/>
      <c r="K378" s="439"/>
      <c r="L378" s="440"/>
      <c r="M378" s="441"/>
      <c r="N378" s="442" t="s">
        <v>227</v>
      </c>
      <c r="O378" s="435"/>
      <c r="P378" s="443">
        <f>'[1]SPJ FUNGSIONAL '!$R$378</f>
        <v>8580075771</v>
      </c>
      <c r="Q378" s="443">
        <f>Q347</f>
        <v>1072563186</v>
      </c>
      <c r="R378" s="443">
        <f t="shared" ref="R378:R389" si="247">P378+Q378</f>
        <v>9652638957</v>
      </c>
      <c r="S378" s="443">
        <f>'[5]SPJ FUNGSIONAL '!$U$357</f>
        <v>67320000</v>
      </c>
      <c r="T378" s="443">
        <f t="shared" ref="T378:T384" si="248">T362</f>
        <v>0</v>
      </c>
      <c r="U378" s="443">
        <f t="shared" ref="U378:U389" si="249">S378+T378</f>
        <v>67320000</v>
      </c>
      <c r="V378" s="443">
        <f>'[1]SPJ FUNGSIONAL '!$X$378</f>
        <v>7108781753</v>
      </c>
      <c r="W378" s="443">
        <f>W347</f>
        <v>1475715545</v>
      </c>
      <c r="X378" s="443">
        <f t="shared" ref="X378:X389" si="250">V378+W378</f>
        <v>8584497298</v>
      </c>
      <c r="Y378" s="444">
        <f t="shared" ref="Y378:Y389" si="251">R378+U378+X378</f>
        <v>18304456255</v>
      </c>
      <c r="Z378" s="436"/>
      <c r="AA378" s="437"/>
      <c r="AD378" s="463"/>
      <c r="AG378" s="456"/>
    </row>
    <row r="379" spans="1:33" s="239" customFormat="1" ht="31.5" customHeight="1">
      <c r="A379" s="438"/>
      <c r="B379" s="439"/>
      <c r="C379" s="439"/>
      <c r="D379" s="439"/>
      <c r="E379" s="439"/>
      <c r="F379" s="439"/>
      <c r="G379" s="439"/>
      <c r="H379" s="439"/>
      <c r="I379" s="439"/>
      <c r="J379" s="439"/>
      <c r="K379" s="439"/>
      <c r="L379" s="440"/>
      <c r="M379" s="441"/>
      <c r="N379" s="442" t="s">
        <v>185</v>
      </c>
      <c r="O379" s="435"/>
      <c r="P379" s="443"/>
      <c r="Q379" s="443"/>
      <c r="R379" s="443">
        <f t="shared" si="247"/>
        <v>0</v>
      </c>
      <c r="S379" s="443"/>
      <c r="T379" s="443">
        <f t="shared" si="248"/>
        <v>0</v>
      </c>
      <c r="U379" s="443">
        <f t="shared" si="249"/>
        <v>0</v>
      </c>
      <c r="V379" s="443"/>
      <c r="W379" s="443"/>
      <c r="X379" s="443">
        <f t="shared" si="250"/>
        <v>0</v>
      </c>
      <c r="Y379" s="444">
        <f t="shared" si="251"/>
        <v>0</v>
      </c>
      <c r="Z379" s="436"/>
      <c r="AA379" s="437"/>
      <c r="AG379" s="456"/>
    </row>
    <row r="380" spans="1:33" s="239" customFormat="1" ht="31.5" customHeight="1">
      <c r="A380" s="438"/>
      <c r="B380" s="439"/>
      <c r="C380" s="439"/>
      <c r="D380" s="439"/>
      <c r="E380" s="439"/>
      <c r="F380" s="439"/>
      <c r="G380" s="439"/>
      <c r="H380" s="439"/>
      <c r="I380" s="439"/>
      <c r="J380" s="439"/>
      <c r="K380" s="439"/>
      <c r="L380" s="440"/>
      <c r="M380" s="441"/>
      <c r="N380" s="445" t="s">
        <v>186</v>
      </c>
      <c r="O380" s="435"/>
      <c r="P380" s="443"/>
      <c r="Q380" s="443"/>
      <c r="R380" s="443">
        <f t="shared" si="247"/>
        <v>0</v>
      </c>
      <c r="S380" s="443">
        <f>'[5]SPJ FUNGSIONAL '!$U$359</f>
        <v>6120000</v>
      </c>
      <c r="T380" s="443">
        <f t="shared" si="248"/>
        <v>0</v>
      </c>
      <c r="U380" s="443">
        <f t="shared" si="249"/>
        <v>6120000</v>
      </c>
      <c r="V380" s="443">
        <f>'[1]SPJ FUNGSIONAL '!$X$380</f>
        <v>16956225</v>
      </c>
      <c r="W380" s="443">
        <v>11901087</v>
      </c>
      <c r="X380" s="443">
        <f t="shared" si="250"/>
        <v>28857312</v>
      </c>
      <c r="Y380" s="444">
        <f t="shared" si="251"/>
        <v>34977312</v>
      </c>
      <c r="Z380" s="436"/>
      <c r="AA380" s="437"/>
      <c r="AG380" s="456">
        <f>AG378-AG379</f>
        <v>0</v>
      </c>
    </row>
    <row r="381" spans="1:33" s="239" customFormat="1" ht="31.5" customHeight="1">
      <c r="A381" s="438"/>
      <c r="B381" s="439"/>
      <c r="C381" s="439"/>
      <c r="D381" s="439"/>
      <c r="E381" s="439"/>
      <c r="F381" s="439"/>
      <c r="G381" s="439"/>
      <c r="H381" s="439"/>
      <c r="I381" s="439"/>
      <c r="J381" s="439"/>
      <c r="K381" s="439"/>
      <c r="L381" s="440"/>
      <c r="M381" s="441"/>
      <c r="N381" s="445" t="s">
        <v>228</v>
      </c>
      <c r="O381" s="435"/>
      <c r="P381" s="443">
        <f>'[1]SPJ FUNGSIONAL '!$R$381</f>
        <v>162215387</v>
      </c>
      <c r="Q381" s="443">
        <f>Q365</f>
        <v>29389999</v>
      </c>
      <c r="R381" s="443">
        <f t="shared" si="247"/>
        <v>191605386</v>
      </c>
      <c r="S381" s="443"/>
      <c r="T381" s="443">
        <f t="shared" si="248"/>
        <v>0</v>
      </c>
      <c r="U381" s="443">
        <f t="shared" si="249"/>
        <v>0</v>
      </c>
      <c r="V381" s="443">
        <f>'[1]SPJ FUNGSIONAL '!$X$381</f>
        <v>193902635</v>
      </c>
      <c r="W381" s="443">
        <v>43933745</v>
      </c>
      <c r="X381" s="443">
        <f t="shared" si="250"/>
        <v>237836380</v>
      </c>
      <c r="Y381" s="444">
        <f t="shared" si="251"/>
        <v>429441766</v>
      </c>
      <c r="Z381" s="436"/>
      <c r="AA381" s="437"/>
    </row>
    <row r="382" spans="1:33" s="239" customFormat="1" ht="31.5" customHeight="1">
      <c r="A382" s="438"/>
      <c r="B382" s="439"/>
      <c r="C382" s="439"/>
      <c r="D382" s="439"/>
      <c r="E382" s="439"/>
      <c r="F382" s="439"/>
      <c r="G382" s="439"/>
      <c r="H382" s="439"/>
      <c r="I382" s="439"/>
      <c r="J382" s="439"/>
      <c r="K382" s="439"/>
      <c r="L382" s="440"/>
      <c r="M382" s="441"/>
      <c r="N382" s="445" t="s">
        <v>187</v>
      </c>
      <c r="O382" s="435"/>
      <c r="P382" s="443"/>
      <c r="Q382" s="443"/>
      <c r="R382" s="443">
        <f t="shared" si="247"/>
        <v>0</v>
      </c>
      <c r="S382" s="443">
        <f>'[5]SPJ FUNGSIONAL '!$U$361</f>
        <v>918000</v>
      </c>
      <c r="T382" s="443">
        <f t="shared" si="248"/>
        <v>0</v>
      </c>
      <c r="U382" s="443">
        <f t="shared" si="249"/>
        <v>918000</v>
      </c>
      <c r="V382" s="443">
        <f>'[1]SPJ FUNGSIONAL '!$X$382</f>
        <v>4342030</v>
      </c>
      <c r="W382" s="443">
        <v>2477890</v>
      </c>
      <c r="X382" s="443">
        <f t="shared" si="250"/>
        <v>6819920</v>
      </c>
      <c r="Y382" s="444">
        <f t="shared" si="251"/>
        <v>7737920</v>
      </c>
      <c r="Z382" s="436"/>
      <c r="AA382" s="437"/>
    </row>
    <row r="383" spans="1:33" s="239" customFormat="1" ht="31.5" customHeight="1">
      <c r="A383" s="438"/>
      <c r="B383" s="439"/>
      <c r="C383" s="439"/>
      <c r="D383" s="439"/>
      <c r="E383" s="439"/>
      <c r="F383" s="439"/>
      <c r="G383" s="439"/>
      <c r="H383" s="439"/>
      <c r="I383" s="439"/>
      <c r="J383" s="439"/>
      <c r="K383" s="439"/>
      <c r="L383" s="440"/>
      <c r="M383" s="441"/>
      <c r="N383" s="445" t="s">
        <v>188</v>
      </c>
      <c r="O383" s="435"/>
      <c r="P383" s="443"/>
      <c r="Q383" s="443"/>
      <c r="R383" s="443">
        <f t="shared" si="247"/>
        <v>0</v>
      </c>
      <c r="S383" s="443"/>
      <c r="T383" s="443">
        <f t="shared" si="248"/>
        <v>0</v>
      </c>
      <c r="U383" s="443">
        <f t="shared" si="249"/>
        <v>0</v>
      </c>
      <c r="V383" s="443">
        <f>'[1]SPJ FUNGSIONAL '!$X$383</f>
        <v>214120</v>
      </c>
      <c r="W383" s="443">
        <v>578000</v>
      </c>
      <c r="X383" s="443">
        <f t="shared" si="250"/>
        <v>792120</v>
      </c>
      <c r="Y383" s="444">
        <f t="shared" si="251"/>
        <v>792120</v>
      </c>
      <c r="Z383" s="436"/>
      <c r="AA383" s="437"/>
    </row>
    <row r="384" spans="1:33" s="239" customFormat="1" ht="31.5" customHeight="1">
      <c r="A384" s="438"/>
      <c r="B384" s="439"/>
      <c r="C384" s="439"/>
      <c r="D384" s="439"/>
      <c r="E384" s="439"/>
      <c r="F384" s="439"/>
      <c r="G384" s="439"/>
      <c r="H384" s="439"/>
      <c r="I384" s="439"/>
      <c r="J384" s="439"/>
      <c r="K384" s="439"/>
      <c r="L384" s="440"/>
      <c r="M384" s="441"/>
      <c r="N384" s="445" t="s">
        <v>189</v>
      </c>
      <c r="O384" s="436"/>
      <c r="P384" s="443"/>
      <c r="Q384" s="443"/>
      <c r="R384" s="443">
        <f t="shared" si="247"/>
        <v>0</v>
      </c>
      <c r="S384" s="443"/>
      <c r="T384" s="443">
        <f t="shared" si="248"/>
        <v>0</v>
      </c>
      <c r="U384" s="443">
        <f t="shared" si="249"/>
        <v>0</v>
      </c>
      <c r="V384" s="443"/>
      <c r="W384" s="443">
        <f>W368</f>
        <v>0</v>
      </c>
      <c r="X384" s="443">
        <f t="shared" si="250"/>
        <v>0</v>
      </c>
      <c r="Y384" s="444">
        <f t="shared" si="251"/>
        <v>0</v>
      </c>
      <c r="Z384" s="436"/>
      <c r="AA384" s="437"/>
    </row>
    <row r="385" spans="1:33" s="239" customFormat="1" ht="31.5" customHeight="1">
      <c r="A385" s="438"/>
      <c r="B385" s="439"/>
      <c r="C385" s="439"/>
      <c r="D385" s="439"/>
      <c r="E385" s="439"/>
      <c r="F385" s="439"/>
      <c r="G385" s="439"/>
      <c r="H385" s="439"/>
      <c r="I385" s="439"/>
      <c r="J385" s="439"/>
      <c r="K385" s="439"/>
      <c r="L385" s="440"/>
      <c r="M385" s="441"/>
      <c r="N385" s="445" t="s">
        <v>190</v>
      </c>
      <c r="O385" s="435"/>
      <c r="P385" s="443"/>
      <c r="Q385" s="443"/>
      <c r="R385" s="443">
        <f t="shared" si="247"/>
        <v>0</v>
      </c>
      <c r="S385" s="443"/>
      <c r="T385" s="443"/>
      <c r="U385" s="443">
        <f t="shared" si="249"/>
        <v>0</v>
      </c>
      <c r="V385" s="443"/>
      <c r="W385" s="443">
        <f>W369</f>
        <v>0</v>
      </c>
      <c r="X385" s="443">
        <f t="shared" si="250"/>
        <v>0</v>
      </c>
      <c r="Y385" s="444">
        <f t="shared" si="251"/>
        <v>0</v>
      </c>
      <c r="Z385" s="436"/>
      <c r="AA385" s="437"/>
    </row>
    <row r="386" spans="1:33" s="239" customFormat="1" ht="31.5" customHeight="1">
      <c r="A386" s="438"/>
      <c r="B386" s="439"/>
      <c r="C386" s="439"/>
      <c r="D386" s="439"/>
      <c r="E386" s="439"/>
      <c r="F386" s="439"/>
      <c r="G386" s="439"/>
      <c r="H386" s="439"/>
      <c r="I386" s="439"/>
      <c r="J386" s="439"/>
      <c r="K386" s="439"/>
      <c r="L386" s="440"/>
      <c r="M386" s="441"/>
      <c r="N386" s="445" t="s">
        <v>191</v>
      </c>
      <c r="O386" s="435"/>
      <c r="P386" s="443"/>
      <c r="Q386" s="443"/>
      <c r="R386" s="443">
        <f t="shared" si="247"/>
        <v>0</v>
      </c>
      <c r="S386" s="443"/>
      <c r="T386" s="443"/>
      <c r="U386" s="443">
        <f t="shared" si="249"/>
        <v>0</v>
      </c>
      <c r="V386" s="443">
        <f>'[1]SPJ FUNGSIONAL '!$X$386</f>
        <v>11749625</v>
      </c>
      <c r="W386" s="443">
        <v>720000</v>
      </c>
      <c r="X386" s="443">
        <f t="shared" si="250"/>
        <v>12469625</v>
      </c>
      <c r="Y386" s="444">
        <f t="shared" si="251"/>
        <v>12469625</v>
      </c>
      <c r="Z386" s="436"/>
      <c r="AA386" s="437"/>
    </row>
    <row r="387" spans="1:33" s="239" customFormat="1" ht="31.5" customHeight="1">
      <c r="A387" s="438"/>
      <c r="B387" s="439"/>
      <c r="C387" s="439"/>
      <c r="D387" s="439"/>
      <c r="E387" s="439"/>
      <c r="F387" s="439"/>
      <c r="G387" s="439"/>
      <c r="H387" s="439"/>
      <c r="I387" s="439"/>
      <c r="J387" s="439"/>
      <c r="K387" s="439"/>
      <c r="L387" s="440"/>
      <c r="M387" s="441"/>
      <c r="N387" s="445" t="s">
        <v>192</v>
      </c>
      <c r="O387" s="435"/>
      <c r="P387" s="443"/>
      <c r="Q387" s="443"/>
      <c r="R387" s="443">
        <f t="shared" si="247"/>
        <v>0</v>
      </c>
      <c r="S387" s="443"/>
      <c r="T387" s="443"/>
      <c r="U387" s="443">
        <f t="shared" si="249"/>
        <v>0</v>
      </c>
      <c r="V387" s="443"/>
      <c r="W387" s="443">
        <f>W371</f>
        <v>0</v>
      </c>
      <c r="X387" s="443">
        <f t="shared" si="250"/>
        <v>0</v>
      </c>
      <c r="Y387" s="444">
        <f t="shared" si="251"/>
        <v>0</v>
      </c>
      <c r="Z387" s="436"/>
      <c r="AA387" s="437"/>
    </row>
    <row r="388" spans="1:33" s="239" customFormat="1" ht="31.5" customHeight="1">
      <c r="A388" s="438"/>
      <c r="B388" s="439"/>
      <c r="C388" s="439"/>
      <c r="D388" s="439"/>
      <c r="E388" s="439"/>
      <c r="F388" s="439"/>
      <c r="G388" s="439"/>
      <c r="H388" s="439"/>
      <c r="I388" s="439"/>
      <c r="J388" s="439"/>
      <c r="K388" s="439"/>
      <c r="L388" s="440"/>
      <c r="M388" s="441"/>
      <c r="N388" s="442" t="s">
        <v>209</v>
      </c>
      <c r="O388" s="435"/>
      <c r="P388" s="443">
        <f>'[1]SPJ FUNGSIONAL '!$R$388</f>
        <v>6560222</v>
      </c>
      <c r="Q388" s="443">
        <v>628783</v>
      </c>
      <c r="R388" s="443">
        <f>SUM(P388:Q388)</f>
        <v>7189005</v>
      </c>
      <c r="S388" s="443"/>
      <c r="T388" s="443"/>
      <c r="U388" s="443"/>
      <c r="V388" s="443"/>
      <c r="W388" s="443"/>
      <c r="X388" s="443"/>
      <c r="Y388" s="444">
        <f t="shared" si="251"/>
        <v>7189005</v>
      </c>
      <c r="Z388" s="436"/>
      <c r="AA388" s="437"/>
    </row>
    <row r="389" spans="1:33" s="239" customFormat="1" ht="31.5" customHeight="1">
      <c r="A389" s="438"/>
      <c r="B389" s="439"/>
      <c r="C389" s="439"/>
      <c r="D389" s="439"/>
      <c r="E389" s="439"/>
      <c r="F389" s="439"/>
      <c r="G389" s="439"/>
      <c r="H389" s="439"/>
      <c r="I389" s="439"/>
      <c r="J389" s="439"/>
      <c r="K389" s="439"/>
      <c r="L389" s="572"/>
      <c r="M389" s="573"/>
      <c r="N389" s="448" t="s">
        <v>193</v>
      </c>
      <c r="O389" s="457"/>
      <c r="P389" s="443"/>
      <c r="Q389" s="443"/>
      <c r="R389" s="443">
        <f t="shared" si="247"/>
        <v>0</v>
      </c>
      <c r="S389" s="443"/>
      <c r="T389" s="443"/>
      <c r="U389" s="443">
        <f t="shared" si="249"/>
        <v>0</v>
      </c>
      <c r="V389" s="443">
        <f>'[6]SPJ FUNGSIONAL '!$X$388</f>
        <v>4800447368</v>
      </c>
      <c r="W389" s="443">
        <f>W372</f>
        <v>0</v>
      </c>
      <c r="X389" s="443">
        <f t="shared" si="250"/>
        <v>4800447368</v>
      </c>
      <c r="Y389" s="444">
        <f t="shared" si="251"/>
        <v>4800447368</v>
      </c>
      <c r="Z389" s="458"/>
      <c r="AA389" s="437"/>
    </row>
    <row r="390" spans="1:33" s="239" customFormat="1" ht="31.5" customHeight="1">
      <c r="A390" s="438"/>
      <c r="B390" s="439"/>
      <c r="C390" s="439"/>
      <c r="D390" s="439"/>
      <c r="E390" s="439"/>
      <c r="F390" s="439"/>
      <c r="G390" s="439"/>
      <c r="H390" s="439"/>
      <c r="I390" s="439"/>
      <c r="J390" s="439"/>
      <c r="K390" s="439"/>
      <c r="L390" s="509"/>
      <c r="M390" s="510"/>
      <c r="N390" s="448" t="s">
        <v>278</v>
      </c>
      <c r="O390" s="457"/>
      <c r="P390" s="443"/>
      <c r="Q390" s="443"/>
      <c r="R390" s="443"/>
      <c r="S390" s="443"/>
      <c r="T390" s="443"/>
      <c r="U390" s="443"/>
      <c r="V390" s="443">
        <f>'[6]SPJ FUNGSIONAL '!$X$389</f>
        <v>19282000</v>
      </c>
      <c r="W390" s="443"/>
      <c r="X390" s="443">
        <f t="shared" ref="X390:X391" si="252">V390+W390</f>
        <v>19282000</v>
      </c>
      <c r="Y390" s="444">
        <f t="shared" ref="Y390:Y391" si="253">R390+U390+X390</f>
        <v>19282000</v>
      </c>
      <c r="Z390" s="458"/>
      <c r="AA390" s="437"/>
    </row>
    <row r="391" spans="1:33" s="239" customFormat="1" ht="31.5" customHeight="1">
      <c r="A391" s="438"/>
      <c r="B391" s="439"/>
      <c r="C391" s="439"/>
      <c r="D391" s="439"/>
      <c r="E391" s="439"/>
      <c r="F391" s="439"/>
      <c r="G391" s="439"/>
      <c r="H391" s="439"/>
      <c r="I391" s="439"/>
      <c r="J391" s="439"/>
      <c r="K391" s="439"/>
      <c r="L391" s="515"/>
      <c r="M391" s="516"/>
      <c r="N391" s="448" t="s">
        <v>281</v>
      </c>
      <c r="O391" s="457"/>
      <c r="P391" s="443"/>
      <c r="Q391" s="443"/>
      <c r="R391" s="443"/>
      <c r="S391" s="443"/>
      <c r="T391" s="443"/>
      <c r="U391" s="443"/>
      <c r="V391" s="443">
        <f>'[6]SPJ FUNGSIONAL '!$X$390</f>
        <v>711450</v>
      </c>
      <c r="W391" s="443"/>
      <c r="X391" s="443">
        <f t="shared" si="252"/>
        <v>711450</v>
      </c>
      <c r="Y391" s="444">
        <f t="shared" si="253"/>
        <v>711450</v>
      </c>
      <c r="Z391" s="458"/>
      <c r="AA391" s="437"/>
    </row>
    <row r="392" spans="1:33" s="239" customFormat="1" ht="37.5" customHeight="1">
      <c r="A392" s="438"/>
      <c r="B392" s="439"/>
      <c r="C392" s="439"/>
      <c r="D392" s="439"/>
      <c r="E392" s="439"/>
      <c r="F392" s="439"/>
      <c r="G392" s="439"/>
      <c r="H392" s="439"/>
      <c r="I392" s="439"/>
      <c r="J392" s="439"/>
      <c r="K392" s="439"/>
      <c r="L392" s="518"/>
      <c r="M392" s="519"/>
      <c r="N392" s="448" t="s">
        <v>285</v>
      </c>
      <c r="O392" s="457"/>
      <c r="P392" s="443"/>
      <c r="Q392" s="443"/>
      <c r="R392" s="443"/>
      <c r="S392" s="443"/>
      <c r="T392" s="443"/>
      <c r="U392" s="443"/>
      <c r="V392" s="443">
        <v>9000000</v>
      </c>
      <c r="W392" s="443"/>
      <c r="X392" s="443">
        <f t="shared" ref="X392" si="254">V392+W392</f>
        <v>9000000</v>
      </c>
      <c r="Y392" s="444">
        <f t="shared" ref="Y392" si="255">R392+U392+X392</f>
        <v>9000000</v>
      </c>
      <c r="Z392" s="458"/>
      <c r="AA392" s="437"/>
    </row>
    <row r="393" spans="1:33" s="239" customFormat="1" ht="37.5" customHeight="1">
      <c r="A393" s="438"/>
      <c r="B393" s="439"/>
      <c r="C393" s="439"/>
      <c r="D393" s="439"/>
      <c r="E393" s="439"/>
      <c r="F393" s="439"/>
      <c r="G393" s="439"/>
      <c r="H393" s="439"/>
      <c r="I393" s="439"/>
      <c r="J393" s="439"/>
      <c r="K393" s="439"/>
      <c r="L393" s="528"/>
      <c r="M393" s="529"/>
      <c r="N393" s="448" t="s">
        <v>300</v>
      </c>
      <c r="O393" s="457"/>
      <c r="P393" s="443"/>
      <c r="Q393" s="443"/>
      <c r="R393" s="443"/>
      <c r="S393" s="443"/>
      <c r="T393" s="443"/>
      <c r="U393" s="443"/>
      <c r="V393" s="443"/>
      <c r="W393" s="443">
        <f>2293651+20000</f>
        <v>2313651</v>
      </c>
      <c r="X393" s="443">
        <f t="shared" ref="X393" si="256">V393+W393</f>
        <v>2313651</v>
      </c>
      <c r="Y393" s="444">
        <f t="shared" ref="Y393" si="257">R393+U393+X393</f>
        <v>2313651</v>
      </c>
      <c r="Z393" s="458"/>
      <c r="AA393" s="437"/>
    </row>
    <row r="394" spans="1:33" s="239" customFormat="1" ht="37.5" customHeight="1">
      <c r="A394" s="438"/>
      <c r="B394" s="439"/>
      <c r="C394" s="439"/>
      <c r="D394" s="439"/>
      <c r="E394" s="439"/>
      <c r="F394" s="439"/>
      <c r="G394" s="439"/>
      <c r="H394" s="439"/>
      <c r="I394" s="439"/>
      <c r="J394" s="439"/>
      <c r="K394" s="439"/>
      <c r="L394" s="528"/>
      <c r="M394" s="529"/>
      <c r="N394" s="448" t="s">
        <v>297</v>
      </c>
      <c r="O394" s="457"/>
      <c r="P394" s="443"/>
      <c r="Q394" s="443"/>
      <c r="R394" s="443"/>
      <c r="S394" s="443"/>
      <c r="T394" s="443"/>
      <c r="U394" s="443"/>
      <c r="V394" s="443"/>
      <c r="W394" s="443">
        <v>279197444</v>
      </c>
      <c r="X394" s="443">
        <f t="shared" ref="X394" si="258">V394+W394</f>
        <v>279197444</v>
      </c>
      <c r="Y394" s="444">
        <f t="shared" ref="Y394" si="259">R394+U394+X394</f>
        <v>279197444</v>
      </c>
      <c r="Z394" s="458"/>
      <c r="AA394" s="437"/>
    </row>
    <row r="395" spans="1:33" s="239" customFormat="1" ht="27" customHeight="1">
      <c r="A395" s="438"/>
      <c r="B395" s="439"/>
      <c r="C395" s="439"/>
      <c r="D395" s="439"/>
      <c r="E395" s="439"/>
      <c r="F395" s="439"/>
      <c r="G395" s="439"/>
      <c r="H395" s="439"/>
      <c r="I395" s="439"/>
      <c r="J395" s="439"/>
      <c r="K395" s="439"/>
      <c r="L395" s="574"/>
      <c r="M395" s="575"/>
      <c r="N395" s="453" t="s">
        <v>196</v>
      </c>
      <c r="O395" s="454"/>
      <c r="P395" s="455">
        <f t="shared" ref="P395:U395" si="260">SUM(P378:P389)</f>
        <v>8748851380</v>
      </c>
      <c r="Q395" s="455">
        <f t="shared" si="260"/>
        <v>1102581968</v>
      </c>
      <c r="R395" s="455">
        <f t="shared" si="260"/>
        <v>9851433348</v>
      </c>
      <c r="S395" s="455">
        <f>SUM(S378:S391)</f>
        <v>74358000</v>
      </c>
      <c r="T395" s="455">
        <f t="shared" si="260"/>
        <v>0</v>
      </c>
      <c r="U395" s="455">
        <f t="shared" si="260"/>
        <v>74358000</v>
      </c>
      <c r="V395" s="455">
        <f>SUM(V378:V394)</f>
        <v>12165387206</v>
      </c>
      <c r="W395" s="455">
        <f t="shared" ref="W395:Y395" si="261">SUM(W378:W394)</f>
        <v>1816837362</v>
      </c>
      <c r="X395" s="455">
        <f t="shared" si="261"/>
        <v>13982224568</v>
      </c>
      <c r="Y395" s="455">
        <f t="shared" si="261"/>
        <v>23908015916</v>
      </c>
      <c r="Z395" s="455"/>
      <c r="AA395" s="437"/>
      <c r="AD395" s="463">
        <f>Y397</f>
        <v>0</v>
      </c>
      <c r="AG395" s="456"/>
    </row>
    <row r="396" spans="1:33" s="239" customFormat="1" ht="30.75" customHeight="1">
      <c r="A396" s="438"/>
      <c r="B396" s="439"/>
      <c r="C396" s="439"/>
      <c r="D396" s="439"/>
      <c r="E396" s="439"/>
      <c r="F396" s="439"/>
      <c r="G396" s="439"/>
      <c r="H396" s="439"/>
      <c r="I396" s="439"/>
      <c r="J396" s="439"/>
      <c r="K396" s="439"/>
      <c r="L396" s="572"/>
      <c r="M396" s="573"/>
      <c r="N396" s="459" t="s">
        <v>279</v>
      </c>
      <c r="O396" s="460"/>
      <c r="P396" s="461"/>
      <c r="Q396" s="462"/>
      <c r="R396" s="462"/>
      <c r="S396" s="462"/>
      <c r="T396" s="462"/>
      <c r="U396" s="462"/>
      <c r="V396" s="462"/>
      <c r="W396" s="462"/>
      <c r="X396" s="462"/>
      <c r="Y396" s="462">
        <f>Y376-Y395</f>
        <v>0</v>
      </c>
      <c r="Z396" s="460"/>
      <c r="AA396" s="437"/>
      <c r="AD396" s="463">
        <v>772000000</v>
      </c>
      <c r="AG396" s="456"/>
    </row>
    <row r="397" spans="1:33" s="239" customFormat="1" ht="30.75" customHeight="1">
      <c r="A397" s="449"/>
      <c r="B397" s="450"/>
      <c r="C397" s="450"/>
      <c r="D397" s="450"/>
      <c r="E397" s="450"/>
      <c r="F397" s="450"/>
      <c r="G397" s="450"/>
      <c r="H397" s="450"/>
      <c r="I397" s="450"/>
      <c r="J397" s="450"/>
      <c r="K397" s="450"/>
      <c r="L397" s="576"/>
      <c r="M397" s="577"/>
      <c r="N397" s="434" t="s">
        <v>197</v>
      </c>
      <c r="O397" s="460"/>
      <c r="P397" s="460"/>
      <c r="Q397" s="462"/>
      <c r="R397" s="462"/>
      <c r="S397" s="462"/>
      <c r="T397" s="462"/>
      <c r="U397" s="462"/>
      <c r="V397" s="462"/>
      <c r="W397" s="462"/>
      <c r="X397" s="462"/>
      <c r="Y397" s="462">
        <v>0</v>
      </c>
      <c r="Z397" s="460"/>
      <c r="AA397" s="437"/>
      <c r="AD397" s="463"/>
      <c r="AE397" s="456"/>
      <c r="AG397" s="456"/>
    </row>
    <row r="398" spans="1:33" s="239" customFormat="1" ht="15.9">
      <c r="A398" s="464"/>
      <c r="B398" s="464"/>
      <c r="C398" s="464"/>
      <c r="D398" s="464"/>
      <c r="E398" s="464"/>
      <c r="F398" s="464"/>
      <c r="G398" s="464"/>
      <c r="H398" s="464"/>
      <c r="I398" s="464"/>
      <c r="J398" s="464"/>
      <c r="K398" s="464"/>
      <c r="L398" s="465"/>
      <c r="M398" s="465"/>
      <c r="N398" s="465"/>
      <c r="O398" s="465"/>
      <c r="P398" s="465"/>
      <c r="Q398" s="466"/>
      <c r="R398" s="466"/>
      <c r="S398" s="466"/>
      <c r="T398" s="466"/>
      <c r="U398" s="466"/>
      <c r="V398" s="466"/>
      <c r="W398" s="466"/>
      <c r="X398" s="466"/>
      <c r="Y398" s="466"/>
      <c r="Z398" s="465"/>
      <c r="AA398" s="437"/>
      <c r="AD398" s="463"/>
      <c r="AE398" s="456"/>
      <c r="AG398" s="463"/>
    </row>
    <row r="399" spans="1:33" s="239" customFormat="1" ht="15.9">
      <c r="A399" s="464"/>
      <c r="B399" s="464"/>
      <c r="C399" s="464"/>
      <c r="D399" s="464"/>
      <c r="E399" s="464"/>
      <c r="F399" s="464"/>
      <c r="G399" s="464"/>
      <c r="H399" s="464"/>
      <c r="I399" s="464"/>
      <c r="J399" s="464"/>
      <c r="K399" s="464"/>
      <c r="L399" s="467"/>
      <c r="M399" s="467"/>
      <c r="N399" s="467"/>
      <c r="O399" s="467"/>
      <c r="P399" s="467"/>
      <c r="Q399" s="468"/>
      <c r="R399" s="468"/>
      <c r="S399" s="468"/>
      <c r="T399" s="468"/>
      <c r="U399" s="468"/>
      <c r="V399" s="579" t="s">
        <v>295</v>
      </c>
      <c r="W399" s="579"/>
      <c r="X399" s="579"/>
      <c r="Y399" s="579"/>
      <c r="Z399" s="467"/>
    </row>
    <row r="400" spans="1:33" s="239" customFormat="1" ht="15.9">
      <c r="A400" s="464"/>
      <c r="B400" s="464"/>
      <c r="C400" s="464"/>
      <c r="D400" s="464"/>
      <c r="E400" s="464"/>
      <c r="F400" s="464"/>
      <c r="G400" s="464"/>
      <c r="H400" s="464"/>
      <c r="I400" s="464"/>
      <c r="J400" s="464"/>
      <c r="K400" s="464"/>
      <c r="L400" s="467"/>
      <c r="M400" s="467"/>
      <c r="N400" s="469" t="s">
        <v>198</v>
      </c>
      <c r="O400" s="467"/>
      <c r="P400" s="467"/>
      <c r="Q400" s="468"/>
      <c r="R400" s="468"/>
      <c r="S400" s="468"/>
      <c r="T400" s="468"/>
      <c r="U400" s="468"/>
      <c r="V400" s="470"/>
      <c r="W400" s="471"/>
      <c r="X400" s="471"/>
      <c r="Y400" s="472"/>
      <c r="Z400" s="467"/>
    </row>
    <row r="401" spans="12:31" s="239" customFormat="1" ht="15.9">
      <c r="L401" s="467"/>
      <c r="M401" s="467"/>
      <c r="N401" s="469" t="s">
        <v>199</v>
      </c>
      <c r="O401" s="467"/>
      <c r="P401" s="467"/>
      <c r="Q401" s="468"/>
      <c r="R401" s="468"/>
      <c r="S401" s="468"/>
      <c r="T401" s="468"/>
      <c r="U401" s="468"/>
      <c r="V401" s="579" t="s">
        <v>160</v>
      </c>
      <c r="W401" s="579"/>
      <c r="X401" s="579"/>
      <c r="Y401" s="579"/>
      <c r="Z401" s="467"/>
      <c r="AE401" s="463"/>
    </row>
    <row r="402" spans="12:31" s="239" customFormat="1" ht="15.9">
      <c r="L402" s="467"/>
      <c r="M402" s="467"/>
      <c r="N402" s="469" t="s">
        <v>200</v>
      </c>
      <c r="O402" s="467"/>
      <c r="P402" s="467"/>
      <c r="Q402" s="468"/>
      <c r="R402" s="468"/>
      <c r="S402" s="468"/>
      <c r="T402" s="468"/>
      <c r="U402" s="468"/>
      <c r="V402" s="473"/>
      <c r="W402" s="473"/>
      <c r="X402" s="473"/>
      <c r="Y402" s="473"/>
      <c r="Z402" s="467"/>
      <c r="AD402" s="463"/>
    </row>
    <row r="403" spans="12:31" s="239" customFormat="1" ht="15.9">
      <c r="L403" s="467"/>
      <c r="M403" s="467"/>
      <c r="N403" s="469"/>
      <c r="O403" s="467"/>
      <c r="P403" s="467"/>
      <c r="Q403" s="468"/>
      <c r="R403" s="468"/>
      <c r="S403" s="468"/>
      <c r="T403" s="468"/>
      <c r="U403" s="468"/>
      <c r="V403" s="508"/>
      <c r="W403" s="508"/>
      <c r="X403" s="508"/>
      <c r="Y403" s="508"/>
      <c r="Z403" s="467"/>
      <c r="AD403" s="463"/>
      <c r="AE403" s="463"/>
    </row>
    <row r="404" spans="12:31" s="239" customFormat="1" ht="15.9">
      <c r="L404" s="467"/>
      <c r="M404" s="467"/>
      <c r="N404" s="469"/>
      <c r="O404" s="467"/>
      <c r="P404" s="467"/>
      <c r="Q404" s="468"/>
      <c r="R404" s="468"/>
      <c r="S404" s="468"/>
      <c r="T404" s="468"/>
      <c r="U404" s="468"/>
      <c r="V404" s="473"/>
      <c r="W404" s="473"/>
      <c r="X404" s="473"/>
      <c r="Y404" s="473"/>
      <c r="Z404" s="467"/>
    </row>
    <row r="405" spans="12:31" s="239" customFormat="1" ht="15.9">
      <c r="L405" s="467"/>
      <c r="M405" s="467"/>
      <c r="N405" s="469"/>
      <c r="O405" s="467"/>
      <c r="P405" s="467"/>
      <c r="Q405" s="468"/>
      <c r="R405" s="468"/>
      <c r="S405" s="468"/>
      <c r="T405" s="468"/>
      <c r="U405" s="468"/>
      <c r="V405" s="473"/>
      <c r="W405" s="473"/>
      <c r="X405" s="473"/>
      <c r="Y405" s="473"/>
      <c r="Z405" s="467"/>
    </row>
    <row r="406" spans="12:31" s="239" customFormat="1" ht="15.75" customHeight="1">
      <c r="L406" s="467"/>
      <c r="M406" s="467"/>
      <c r="N406" s="474" t="s">
        <v>242</v>
      </c>
      <c r="O406" s="467"/>
      <c r="P406" s="467"/>
      <c r="Q406" s="468"/>
      <c r="R406" s="468"/>
      <c r="S406" s="468"/>
      <c r="T406" s="468"/>
      <c r="U406" s="468"/>
      <c r="V406" s="580" t="s">
        <v>240</v>
      </c>
      <c r="W406" s="580"/>
      <c r="X406" s="580"/>
      <c r="Y406" s="580"/>
      <c r="Z406" s="468"/>
    </row>
    <row r="407" spans="12:31" s="239" customFormat="1" ht="24.75" customHeight="1">
      <c r="L407" s="467"/>
      <c r="M407" s="467"/>
      <c r="N407" s="475" t="s">
        <v>243</v>
      </c>
      <c r="O407" s="467"/>
      <c r="P407" s="467"/>
      <c r="Q407" s="468"/>
      <c r="R407" s="468"/>
      <c r="S407" s="468"/>
      <c r="T407" s="468"/>
      <c r="U407" s="468"/>
      <c r="V407" s="581" t="s">
        <v>241</v>
      </c>
      <c r="W407" s="581"/>
      <c r="X407" s="581"/>
      <c r="Y407" s="581"/>
      <c r="Z407" s="467"/>
    </row>
    <row r="408" spans="12:31" s="239" customFormat="1" ht="15.9">
      <c r="L408" s="467"/>
      <c r="M408" s="467"/>
      <c r="N408" s="467"/>
      <c r="O408" s="467"/>
      <c r="P408" s="467"/>
      <c r="Q408" s="467"/>
      <c r="R408" s="467"/>
      <c r="S408" s="467"/>
      <c r="T408" s="467"/>
      <c r="U408" s="467"/>
      <c r="V408" s="467"/>
      <c r="W408" s="467"/>
      <c r="X408" s="467"/>
      <c r="Y408" s="467"/>
      <c r="Z408" s="467"/>
    </row>
    <row r="409" spans="12:31" s="239" customFormat="1" ht="15.9"/>
    <row r="410" spans="12:31" s="239" customFormat="1" ht="15.9"/>
    <row r="411" spans="12:31" s="239" customFormat="1" ht="15.9"/>
    <row r="412" spans="12:31" s="240" customFormat="1" ht="13.75"/>
    <row r="413" spans="12:31" s="238" customFormat="1" ht="14.15"/>
  </sheetData>
  <mergeCells count="34">
    <mergeCell ref="Z12:Z19"/>
    <mergeCell ref="A12:M19"/>
    <mergeCell ref="P12:R15"/>
    <mergeCell ref="S12:U15"/>
    <mergeCell ref="V12:X15"/>
    <mergeCell ref="V399:Y399"/>
    <mergeCell ref="V401:Y401"/>
    <mergeCell ref="V406:Y406"/>
    <mergeCell ref="V407:Y407"/>
    <mergeCell ref="N12:N19"/>
    <mergeCell ref="O12:O19"/>
    <mergeCell ref="P16:P19"/>
    <mergeCell ref="Q16:Q19"/>
    <mergeCell ref="R16:R19"/>
    <mergeCell ref="S16:S19"/>
    <mergeCell ref="T16:T19"/>
    <mergeCell ref="U16:U19"/>
    <mergeCell ref="V16:V19"/>
    <mergeCell ref="W16:W19"/>
    <mergeCell ref="X16:X19"/>
    <mergeCell ref="Y12:Y19"/>
    <mergeCell ref="L389:M389"/>
    <mergeCell ref="L395:M395"/>
    <mergeCell ref="L396:M396"/>
    <mergeCell ref="L397:M397"/>
    <mergeCell ref="A8:M8"/>
    <mergeCell ref="A9:M9"/>
    <mergeCell ref="A10:M10"/>
    <mergeCell ref="A20:M20"/>
    <mergeCell ref="A1:Z1"/>
    <mergeCell ref="A6:M6"/>
    <mergeCell ref="A7:M7"/>
    <mergeCell ref="A2:Z2"/>
    <mergeCell ref="A3:Z3"/>
  </mergeCells>
  <pageMargins left="0.45" right="0.2" top="0.25" bottom="0.25" header="0.3" footer="0.3"/>
  <pageSetup paperSize="5" scale="38" orientation="landscape" horizont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LRA BM</vt:lpstr>
      <vt:lpstr>LRA SP2D</vt:lpstr>
      <vt:lpstr>SPJ FUNGSIONAL </vt:lpstr>
      <vt:lpstr>'LRA BM'!Print_Titles</vt:lpstr>
      <vt:lpstr>'LRA SP2D'!Print_Titles</vt:lpstr>
      <vt:lpstr>'SPJ FUNGSIONAL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</dc:creator>
  <cp:lastModifiedBy>User</cp:lastModifiedBy>
  <cp:lastPrinted>2022-12-30T03:50:48Z</cp:lastPrinted>
  <dcterms:created xsi:type="dcterms:W3CDTF">2021-01-18T01:37:00Z</dcterms:created>
  <dcterms:modified xsi:type="dcterms:W3CDTF">2023-02-04T06:38:19Z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